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omments4.xml" ContentType="application/vnd.openxmlformats-officedocument.spreadsheetml.comments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6630" yWindow="6300" windowWidth="18930" windowHeight="5430" tabRatio="871" firstSheet="1" activeTab="4"/>
  </bookViews>
  <sheets>
    <sheet name="Operating costs" sheetId="10" r:id="rId1"/>
    <sheet name="Administration" sheetId="33" r:id="rId2"/>
    <sheet name="Sponsorships" sheetId="37" r:id="rId3"/>
    <sheet name="Membership Dues" sheetId="34" r:id="rId4"/>
    <sheet name="Historical Trends" sheetId="38" r:id="rId5"/>
  </sheets>
  <externalReferences>
    <externalReference r:id="rId6"/>
    <externalReference r:id="rId7"/>
  </externalReferences>
  <definedNames>
    <definedName name="_xlnm.Print_Area" localSheetId="3">'Membership Dues'!$A$1:$L$42</definedName>
    <definedName name="_xlnm.Print_Area" localSheetId="0">'Operating costs'!$A$1:$F$40</definedName>
    <definedName name="_xlnm.Print_Area" localSheetId="2">Sponsorships!$A$1:$D$23</definedName>
  </definedNames>
  <calcPr calcId="125725"/>
  <fileRecoveryPr autoRecover="0"/>
</workbook>
</file>

<file path=xl/calcChain.xml><?xml version="1.0" encoding="utf-8"?>
<calcChain xmlns="http://schemas.openxmlformats.org/spreadsheetml/2006/main">
  <c r="S51" i="38"/>
  <c r="T51"/>
  <c r="R46"/>
  <c r="R53" s="1"/>
  <c r="R33"/>
  <c r="R15"/>
  <c r="C20" i="37" l="1"/>
  <c r="S45" i="38"/>
  <c r="S44"/>
  <c r="S43"/>
  <c r="S40"/>
  <c r="S39"/>
  <c r="S37"/>
  <c r="T38"/>
  <c r="T39"/>
  <c r="T40"/>
  <c r="T42"/>
  <c r="T43"/>
  <c r="T44"/>
  <c r="T45"/>
  <c r="T37"/>
  <c r="T20"/>
  <c r="T21"/>
  <c r="T22"/>
  <c r="T23"/>
  <c r="T24"/>
  <c r="T25"/>
  <c r="T26"/>
  <c r="T27"/>
  <c r="T28"/>
  <c r="T29"/>
  <c r="T30"/>
  <c r="T31"/>
  <c r="T32"/>
  <c r="T19"/>
  <c r="S20"/>
  <c r="S21"/>
  <c r="S22"/>
  <c r="S23"/>
  <c r="S24"/>
  <c r="S25"/>
  <c r="S26"/>
  <c r="S28"/>
  <c r="S29"/>
  <c r="S30"/>
  <c r="S31"/>
  <c r="S32"/>
  <c r="T6"/>
  <c r="T7"/>
  <c r="T8"/>
  <c r="T9"/>
  <c r="T10"/>
  <c r="T11"/>
  <c r="T12"/>
  <c r="T13"/>
  <c r="T14"/>
  <c r="S6"/>
  <c r="S7"/>
  <c r="S9"/>
  <c r="S10"/>
  <c r="S11"/>
  <c r="S13"/>
  <c r="S14"/>
  <c r="E30" i="10"/>
  <c r="S5" i="38" l="1"/>
  <c r="T5"/>
  <c r="J14" i="33" l="1"/>
  <c r="I14"/>
  <c r="H14"/>
  <c r="T89" i="38"/>
  <c r="Q79"/>
  <c r="O79"/>
  <c r="M79"/>
  <c r="K79"/>
  <c r="I79"/>
  <c r="G79"/>
  <c r="N52"/>
  <c r="K52"/>
  <c r="J52"/>
  <c r="I52"/>
  <c r="H52"/>
  <c r="G52"/>
  <c r="F52"/>
  <c r="E52"/>
  <c r="D52"/>
  <c r="C52"/>
  <c r="B52"/>
  <c r="L50"/>
  <c r="Q46"/>
  <c r="P46"/>
  <c r="O46"/>
  <c r="N46"/>
  <c r="M46"/>
  <c r="K46"/>
  <c r="J46"/>
  <c r="J58" s="1"/>
  <c r="I46"/>
  <c r="H46"/>
  <c r="G46"/>
  <c r="F46"/>
  <c r="E46"/>
  <c r="D46"/>
  <c r="C46"/>
  <c r="B46"/>
  <c r="L42"/>
  <c r="S42" s="1"/>
  <c r="L38"/>
  <c r="S38" s="1"/>
  <c r="Q33"/>
  <c r="P33"/>
  <c r="O33"/>
  <c r="N33"/>
  <c r="M33"/>
  <c r="K33"/>
  <c r="B33"/>
  <c r="L27"/>
  <c r="J19"/>
  <c r="J33" s="1"/>
  <c r="J56" s="1"/>
  <c r="K56" s="1"/>
  <c r="I19"/>
  <c r="I33" s="1"/>
  <c r="H19"/>
  <c r="H33" s="1"/>
  <c r="G19"/>
  <c r="G33" s="1"/>
  <c r="F19"/>
  <c r="F33" s="1"/>
  <c r="E19"/>
  <c r="E33" s="1"/>
  <c r="D19"/>
  <c r="D33" s="1"/>
  <c r="C19"/>
  <c r="Q15"/>
  <c r="P15"/>
  <c r="O15"/>
  <c r="N15"/>
  <c r="M15"/>
  <c r="K15"/>
  <c r="L12"/>
  <c r="J8"/>
  <c r="J15" s="1"/>
  <c r="I8"/>
  <c r="I15" s="1"/>
  <c r="H8"/>
  <c r="H15" s="1"/>
  <c r="G8"/>
  <c r="G15" s="1"/>
  <c r="F8"/>
  <c r="F15" s="1"/>
  <c r="E8"/>
  <c r="E15" s="1"/>
  <c r="D8"/>
  <c r="D15" s="1"/>
  <c r="C8"/>
  <c r="C15" s="1"/>
  <c r="B8"/>
  <c r="B15" l="1"/>
  <c r="S8"/>
  <c r="C33"/>
  <c r="S19"/>
  <c r="S50"/>
  <c r="T50"/>
  <c r="T52" s="1"/>
  <c r="S46"/>
  <c r="L15"/>
  <c r="S12"/>
  <c r="S15" s="1"/>
  <c r="L33"/>
  <c r="L56" s="1"/>
  <c r="M56" s="1"/>
  <c r="N56" s="1"/>
  <c r="O56" s="1"/>
  <c r="S27"/>
  <c r="S33" s="1"/>
  <c r="K58"/>
  <c r="B53"/>
  <c r="F53"/>
  <c r="O53"/>
  <c r="N53"/>
  <c r="D53"/>
  <c r="H53"/>
  <c r="M53"/>
  <c r="Q53"/>
  <c r="K53"/>
  <c r="P53"/>
  <c r="K14" i="33"/>
  <c r="M16" i="38"/>
  <c r="N16" s="1"/>
  <c r="O16" s="1"/>
  <c r="P16" s="1"/>
  <c r="Q16" s="1"/>
  <c r="R16" s="1"/>
  <c r="L52"/>
  <c r="S52"/>
  <c r="M34"/>
  <c r="N34" s="1"/>
  <c r="O34" s="1"/>
  <c r="P34" s="1"/>
  <c r="Q34" s="1"/>
  <c r="R34" s="1"/>
  <c r="C53"/>
  <c r="E53"/>
  <c r="G53"/>
  <c r="I53"/>
  <c r="T15"/>
  <c r="T33"/>
  <c r="T84" s="1"/>
  <c r="T46"/>
  <c r="L46"/>
  <c r="L53" s="1"/>
  <c r="J53"/>
  <c r="T53" l="1"/>
  <c r="T88" s="1"/>
  <c r="T90" s="1"/>
  <c r="T85"/>
  <c r="T86" s="1"/>
  <c r="M47"/>
  <c r="N47" s="1"/>
  <c r="O47" s="1"/>
  <c r="P47" s="1"/>
  <c r="Q47" s="1"/>
  <c r="R47" s="1"/>
  <c r="L58"/>
  <c r="M58" s="1"/>
  <c r="N58" s="1"/>
  <c r="S53" l="1"/>
  <c r="O58"/>
  <c r="N59"/>
  <c r="C14" i="33" l="1"/>
  <c r="F22" i="34"/>
  <c r="F21"/>
  <c r="J20"/>
  <c r="K20" s="1"/>
  <c r="L20" s="1"/>
  <c r="F16"/>
  <c r="F10"/>
  <c r="F11"/>
  <c r="F12"/>
  <c r="E13"/>
  <c r="D13"/>
  <c r="D26" s="1"/>
  <c r="F14"/>
  <c r="E15"/>
  <c r="F17"/>
  <c r="F18"/>
  <c r="F19"/>
  <c r="D12" i="10"/>
  <c r="D14" i="33"/>
  <c r="E14"/>
  <c r="E12" i="10"/>
  <c r="C26"/>
  <c r="E26"/>
  <c r="C34"/>
  <c r="C38" s="1"/>
  <c r="D34"/>
  <c r="D38" s="1"/>
  <c r="E38"/>
  <c r="D26"/>
  <c r="F13" i="34"/>
  <c r="E26" l="1"/>
  <c r="F14" i="33"/>
  <c r="C5" i="10" s="1"/>
  <c r="C12" s="1"/>
  <c r="C39" s="1"/>
  <c r="D39"/>
  <c r="F15" i="34"/>
  <c r="F26" s="1"/>
  <c r="E34" i="10"/>
  <c r="E39" s="1"/>
  <c r="F39" l="1"/>
  <c r="K3" i="34" s="1"/>
  <c r="K6" s="1"/>
  <c r="H11" l="1"/>
  <c r="N11" s="1"/>
  <c r="H17"/>
  <c r="N17" s="1"/>
  <c r="H15"/>
  <c r="N15" s="1"/>
  <c r="H16"/>
  <c r="I16" s="1"/>
  <c r="J16" s="1"/>
  <c r="H13"/>
  <c r="N13" s="1"/>
  <c r="H19"/>
  <c r="N19" s="1"/>
  <c r="H12"/>
  <c r="I12" s="1"/>
  <c r="J12" s="1"/>
  <c r="K12" s="1"/>
  <c r="L12" s="1"/>
  <c r="H14"/>
  <c r="N14" s="1"/>
  <c r="H18"/>
  <c r="I18" s="1"/>
  <c r="J18" s="1"/>
  <c r="K18" s="1"/>
  <c r="L18" s="1"/>
  <c r="H10"/>
  <c r="N10" s="1"/>
  <c r="N21"/>
  <c r="I22"/>
  <c r="J22" s="1"/>
  <c r="K22" s="1"/>
  <c r="L22" s="1"/>
  <c r="N16"/>
  <c r="I21"/>
  <c r="J21" s="1"/>
  <c r="N22"/>
  <c r="O21" l="1"/>
  <c r="O22"/>
  <c r="I14"/>
  <c r="J14" s="1"/>
  <c r="K14" s="1"/>
  <c r="L14" s="1"/>
  <c r="I19"/>
  <c r="J19" s="1"/>
  <c r="K19" s="1"/>
  <c r="L19" s="1"/>
  <c r="I17"/>
  <c r="J17" s="1"/>
  <c r="K17" s="1"/>
  <c r="L17" s="1"/>
  <c r="I11"/>
  <c r="J11" s="1"/>
  <c r="K11" s="1"/>
  <c r="L11" s="1"/>
  <c r="K21"/>
  <c r="L21" s="1"/>
  <c r="I15"/>
  <c r="J15" s="1"/>
  <c r="K15" s="1"/>
  <c r="L15" s="1"/>
  <c r="N12"/>
  <c r="O12" s="1"/>
  <c r="I13"/>
  <c r="J13" s="1"/>
  <c r="K13" s="1"/>
  <c r="L13" s="1"/>
  <c r="N18"/>
  <c r="O18" s="1"/>
  <c r="H26"/>
  <c r="G16" s="1"/>
  <c r="K16"/>
  <c r="L16" s="1"/>
  <c r="O16"/>
  <c r="O14"/>
  <c r="I10"/>
  <c r="G14" l="1"/>
  <c r="G13"/>
  <c r="O19"/>
  <c r="O17"/>
  <c r="O15"/>
  <c r="O11"/>
  <c r="G15"/>
  <c r="O13"/>
  <c r="G21"/>
  <c r="G12"/>
  <c r="G17"/>
  <c r="G22"/>
  <c r="G11"/>
  <c r="G10"/>
  <c r="G18"/>
  <c r="G19"/>
  <c r="J10"/>
  <c r="I26"/>
  <c r="G26" l="1"/>
  <c r="J26"/>
  <c r="O10"/>
  <c r="K10"/>
  <c r="L10" s="1"/>
</calcChain>
</file>

<file path=xl/comments1.xml><?xml version="1.0" encoding="utf-8"?>
<comments xmlns="http://schemas.openxmlformats.org/spreadsheetml/2006/main">
  <authors>
    <author>cmercanti</author>
    <author>cmercant</author>
    <author>Karen Logan</author>
    <author>Karen</author>
    <author>KAREN LOGAN</author>
  </authors>
  <commentList>
    <comment ref="D18" authorId="0">
      <text>
        <r>
          <rPr>
            <b/>
            <sz val="12"/>
            <color indexed="81"/>
            <rFont val="Tahoma"/>
            <family val="2"/>
          </rPr>
          <t>KAREN LOGAN:
brochure created in 2008 - may need to be updatd again in 2010 - anticipate reprinting costs</t>
        </r>
      </text>
    </comment>
    <comment ref="D19" authorId="1">
      <text>
        <r>
          <rPr>
            <b/>
            <sz val="12"/>
            <color indexed="81"/>
            <rFont val="Tahoma"/>
            <family val="2"/>
          </rPr>
          <t>expense moved to promotional items - reprint only if needed</t>
        </r>
      </text>
    </comment>
    <comment ref="D20" authorId="2">
      <text>
        <r>
          <rPr>
            <b/>
            <sz val="14"/>
            <color indexed="81"/>
            <rFont val="Tahoma"/>
            <family val="2"/>
          </rPr>
          <t>Karen Logan:</t>
        </r>
        <r>
          <rPr>
            <sz val="14"/>
            <color indexed="81"/>
            <rFont val="Tahoma"/>
            <family val="2"/>
          </rPr>
          <t xml:space="preserve">
we host a workshop in conjunction with the annual meeting every other year - alternating years with the Upwind Downwind conference. Money allocated to this sponsorship is added to the annual meeting budget to host the workshop</t>
        </r>
      </text>
    </comment>
    <comment ref="E23" authorId="3">
      <text>
        <r>
          <rPr>
            <b/>
            <sz val="14"/>
            <color indexed="81"/>
            <rFont val="Tahoma"/>
            <family val="2"/>
          </rPr>
          <t>Karen:</t>
        </r>
        <r>
          <rPr>
            <sz val="14"/>
            <color indexed="81"/>
            <rFont val="Tahoma"/>
            <family val="2"/>
          </rPr>
          <t xml:space="preserve">
Green Hamilton projects no longer add value for HIEA because of the difficulty in locating appropriate sites - we are working too hard to find places to spend the money - decision was made to move money to sponsorship</t>
        </r>
      </text>
    </comment>
    <comment ref="E24" authorId="4">
      <text>
        <r>
          <rPr>
            <b/>
            <sz val="12"/>
            <color indexed="81"/>
            <rFont val="Tahoma"/>
            <family val="2"/>
          </rPr>
          <t xml:space="preserve">KAREN LOGAN: </t>
        </r>
        <r>
          <rPr>
            <sz val="12"/>
            <color indexed="81"/>
            <rFont val="Tahoma"/>
            <family val="2"/>
          </rPr>
          <t xml:space="preserve">conference expense occures every other year.
</t>
        </r>
      </text>
    </comment>
  </commentList>
</comments>
</file>

<file path=xl/comments2.xml><?xml version="1.0" encoding="utf-8"?>
<comments xmlns="http://schemas.openxmlformats.org/spreadsheetml/2006/main">
  <authors>
    <author>Karen Logan</author>
  </authors>
  <commentList>
    <comment ref="B7" authorId="0">
      <text>
        <r>
          <rPr>
            <b/>
            <sz val="12"/>
            <color indexed="81"/>
            <rFont val="Tahoma"/>
            <family val="2"/>
          </rPr>
          <t>Karen Logan:</t>
        </r>
        <r>
          <rPr>
            <sz val="12"/>
            <color indexed="81"/>
            <rFont val="Tahoma"/>
            <family val="2"/>
          </rPr>
          <t xml:space="preserve">
request for $5,000</t>
        </r>
      </text>
    </comment>
  </commentList>
</comments>
</file>

<file path=xl/comments3.xml><?xml version="1.0" encoding="utf-8"?>
<comments xmlns="http://schemas.openxmlformats.org/spreadsheetml/2006/main">
  <authors>
    <author>Frank Harrison</author>
  </authors>
  <commentList>
    <comment ref="H10" authorId="0">
      <text>
        <r>
          <rPr>
            <b/>
            <sz val="8"/>
            <color indexed="81"/>
            <rFont val="Tahoma"/>
            <family val="2"/>
          </rPr>
          <t>Frank Harrison:</t>
        </r>
        <r>
          <rPr>
            <sz val="8"/>
            <color indexed="81"/>
            <rFont val="Tahoma"/>
            <family val="2"/>
          </rPr>
          <t xml:space="preserve">
this formula backs out fixed minimum fees and then distributes the rest according to the Total Assessment</t>
        </r>
      </text>
    </comment>
    <comment ref="F26" authorId="0">
      <text>
        <r>
          <rPr>
            <b/>
            <sz val="8"/>
            <color indexed="81"/>
            <rFont val="Tahoma"/>
            <family val="2"/>
          </rPr>
          <t>Frank Harrison:</t>
        </r>
        <r>
          <rPr>
            <sz val="8"/>
            <color indexed="81"/>
            <rFont val="Tahoma"/>
            <family val="2"/>
          </rPr>
          <t xml:space="preserve">
Fixed minimum fees are excluded and accounted for in column H</t>
        </r>
      </text>
    </comment>
  </commentList>
</comments>
</file>

<file path=xl/comments4.xml><?xml version="1.0" encoding="utf-8"?>
<comments xmlns="http://schemas.openxmlformats.org/spreadsheetml/2006/main">
  <authors>
    <author>cmercant</author>
  </authors>
  <commentList>
    <comment ref="B3" authorId="0">
      <text>
        <r>
          <rPr>
            <b/>
            <sz val="8"/>
            <color indexed="81"/>
            <rFont val="Tahoma"/>
            <family val="2"/>
          </rPr>
          <t>cmercant:</t>
        </r>
        <r>
          <rPr>
            <sz val="8"/>
            <color indexed="81"/>
            <rFont val="Tahoma"/>
            <family val="2"/>
          </rPr>
          <t xml:space="preserve">
Confirmed</t>
        </r>
      </text>
    </comment>
    <comment ref="C3" authorId="0">
      <text>
        <r>
          <rPr>
            <b/>
            <sz val="8"/>
            <color indexed="81"/>
            <rFont val="Tahoma"/>
            <family val="2"/>
          </rPr>
          <t>cmercant: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0"/>
            <color indexed="81"/>
            <rFont val="Tahoma"/>
            <family val="2"/>
          </rPr>
          <t>Confirmed</t>
        </r>
      </text>
    </comment>
    <comment ref="D3" authorId="0">
      <text>
        <r>
          <rPr>
            <b/>
            <sz val="8"/>
            <color indexed="81"/>
            <rFont val="Tahoma"/>
            <family val="2"/>
          </rPr>
          <t>cmercant:</t>
        </r>
        <r>
          <rPr>
            <sz val="8"/>
            <color indexed="81"/>
            <rFont val="Tahoma"/>
            <family val="2"/>
          </rPr>
          <t xml:space="preserve">
Confirmed
</t>
        </r>
      </text>
    </comment>
    <comment ref="E3" authorId="0">
      <text>
        <r>
          <rPr>
            <b/>
            <sz val="8"/>
            <color indexed="81"/>
            <rFont val="Tahoma"/>
            <family val="2"/>
          </rPr>
          <t>cmercant:</t>
        </r>
        <r>
          <rPr>
            <sz val="8"/>
            <color indexed="81"/>
            <rFont val="Tahoma"/>
            <family val="2"/>
          </rPr>
          <t xml:space="preserve">
Confirmed
</t>
        </r>
      </text>
    </comment>
    <comment ref="F3" authorId="0">
      <text>
        <r>
          <rPr>
            <b/>
            <sz val="8"/>
            <color indexed="81"/>
            <rFont val="Tahoma"/>
            <family val="2"/>
          </rPr>
          <t>cmercant:</t>
        </r>
        <r>
          <rPr>
            <sz val="8"/>
            <color indexed="81"/>
            <rFont val="Tahoma"/>
            <family val="2"/>
          </rPr>
          <t xml:space="preserve">
Confirmed</t>
        </r>
      </text>
    </comment>
    <comment ref="G3" authorId="0">
      <text>
        <r>
          <rPr>
            <b/>
            <sz val="8"/>
            <color indexed="81"/>
            <rFont val="Tahoma"/>
            <family val="2"/>
          </rPr>
          <t>cmercant: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0"/>
            <color indexed="81"/>
            <rFont val="Tahoma"/>
            <family val="2"/>
          </rPr>
          <t>Confirmed</t>
        </r>
      </text>
    </comment>
    <comment ref="H3" authorId="0">
      <text>
        <r>
          <rPr>
            <b/>
            <sz val="8"/>
            <color indexed="81"/>
            <rFont val="Tahoma"/>
            <family val="2"/>
          </rPr>
          <t>cmercant:</t>
        </r>
        <r>
          <rPr>
            <sz val="8"/>
            <color indexed="81"/>
            <rFont val="Tahoma"/>
            <family val="2"/>
          </rPr>
          <t xml:space="preserve">
Confirmed
</t>
        </r>
      </text>
    </comment>
    <comment ref="I3" authorId="0">
      <text>
        <r>
          <rPr>
            <b/>
            <sz val="8"/>
            <color indexed="81"/>
            <rFont val="Tahoma"/>
            <family val="2"/>
          </rPr>
          <t>cmercant:</t>
        </r>
        <r>
          <rPr>
            <sz val="8"/>
            <color indexed="81"/>
            <rFont val="Tahoma"/>
            <family val="2"/>
          </rPr>
          <t xml:space="preserve">
Confirmed
</t>
        </r>
      </text>
    </comment>
    <comment ref="J3" authorId="0">
      <text>
        <r>
          <rPr>
            <b/>
            <sz val="8"/>
            <color indexed="81"/>
            <rFont val="Tahoma"/>
            <family val="2"/>
          </rPr>
          <t>cmercant:</t>
        </r>
        <r>
          <rPr>
            <sz val="8"/>
            <color indexed="81"/>
            <rFont val="Tahoma"/>
            <family val="2"/>
          </rPr>
          <t xml:space="preserve">
Confirmed
</t>
        </r>
      </text>
    </comment>
    <comment ref="K3" authorId="0">
      <text>
        <r>
          <rPr>
            <b/>
            <sz val="8"/>
            <color indexed="81"/>
            <rFont val="Tahoma"/>
            <family val="2"/>
          </rPr>
          <t>cmercant: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L3" authorId="0">
      <text>
        <r>
          <rPr>
            <b/>
            <sz val="16"/>
            <color indexed="81"/>
            <rFont val="Tahoma"/>
            <family val="2"/>
          </rPr>
          <t>cmercant:</t>
        </r>
        <r>
          <rPr>
            <sz val="16"/>
            <color indexed="81"/>
            <rFont val="Tahoma"/>
            <family val="2"/>
          </rPr>
          <t xml:space="preserve">
confirmed
</t>
        </r>
      </text>
    </comment>
    <comment ref="I9" authorId="0">
      <text>
        <r>
          <rPr>
            <b/>
            <sz val="12"/>
            <color indexed="81"/>
            <rFont val="Tahoma"/>
            <family val="2"/>
          </rPr>
          <t>cmercant:</t>
        </r>
        <r>
          <rPr>
            <sz val="12"/>
            <color indexed="81"/>
            <rFont val="Tahoma"/>
            <family val="2"/>
          </rPr>
          <t xml:space="preserve">
called recruitement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L10" authorId="0">
      <text>
        <r>
          <rPr>
            <b/>
            <sz val="12"/>
            <color indexed="81"/>
            <rFont val="Tahoma"/>
            <family val="2"/>
          </rPr>
          <t>cmercant:</t>
        </r>
        <r>
          <rPr>
            <sz val="12"/>
            <color indexed="81"/>
            <rFont val="Tahoma"/>
            <family val="2"/>
          </rPr>
          <t xml:space="preserve">
New panels for 2 of the units - Company   listing and  one of the performance units</t>
        </r>
      </text>
    </comment>
    <comment ref="D26" authorId="0">
      <text>
        <r>
          <rPr>
            <b/>
            <sz val="8"/>
            <color indexed="81"/>
            <rFont val="Tahoma"/>
            <family val="2"/>
          </rPr>
          <t>cmercant: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0"/>
            <color indexed="81"/>
            <rFont val="Tahoma"/>
            <family val="2"/>
          </rPr>
          <t>Green Hamilton Activities and the North-east Gateway Study $25K</t>
        </r>
      </text>
    </comment>
    <comment ref="L26" authorId="0">
      <text>
        <r>
          <rPr>
            <b/>
            <sz val="12"/>
            <color indexed="81"/>
            <rFont val="Tahoma"/>
            <family val="2"/>
          </rPr>
          <t>cmercant:</t>
        </r>
        <r>
          <rPr>
            <sz val="12"/>
            <color indexed="81"/>
            <rFont val="Tahoma"/>
            <family val="2"/>
          </rPr>
          <t xml:space="preserve">
$8K  for the design and $2k for the promo - i.e. BBQ, Article in local paper, press coverage, cable 14 coverage, local community papers to write  a piece.  Also need  food, balloons, etc.</t>
        </r>
      </text>
    </comment>
    <comment ref="L31" authorId="0">
      <text>
        <r>
          <rPr>
            <b/>
            <sz val="12"/>
            <color indexed="81"/>
            <rFont val="Tahoma"/>
            <family val="2"/>
          </rPr>
          <t>cmercant:</t>
        </r>
        <r>
          <rPr>
            <sz val="12"/>
            <color indexed="81"/>
            <rFont val="Tahoma"/>
            <family val="2"/>
          </rPr>
          <t xml:space="preserve">
To be re-pinted in 2009 -estimated costs = $1,700.</t>
        </r>
      </text>
    </comment>
    <comment ref="L37" authorId="0">
      <text>
        <r>
          <rPr>
            <b/>
            <sz val="11"/>
            <color indexed="81"/>
            <rFont val="Tahoma"/>
            <family val="2"/>
          </rPr>
          <t>cmercant:</t>
        </r>
        <r>
          <rPr>
            <sz val="11"/>
            <color indexed="81"/>
            <rFont val="Tahoma"/>
            <family val="2"/>
          </rPr>
          <t xml:space="preserve">
In 2008 BARC will be required to ask for sponsorship via our Envir Education Sponsorship program 
</t>
        </r>
      </text>
    </comment>
    <comment ref="C40" authorId="0">
      <text>
        <r>
          <rPr>
            <b/>
            <sz val="8"/>
            <color indexed="81"/>
            <rFont val="Tahoma"/>
            <family val="2"/>
          </rPr>
          <t>cmercant: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0"/>
            <color indexed="81"/>
            <rFont val="Tahoma"/>
            <family val="2"/>
          </rPr>
          <t>Conference</t>
        </r>
      </text>
    </comment>
    <comment ref="D40" authorId="0">
      <text>
        <r>
          <rPr>
            <b/>
            <sz val="12"/>
            <color indexed="81"/>
            <rFont val="Tahoma"/>
            <family val="2"/>
          </rPr>
          <t>cmercant:</t>
        </r>
        <r>
          <rPr>
            <sz val="12"/>
            <color indexed="81"/>
            <rFont val="Tahoma"/>
            <family val="2"/>
          </rPr>
          <t xml:space="preserve">
Spray Commitment Pilot Funding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F40" authorId="0">
      <text>
        <r>
          <rPr>
            <b/>
            <sz val="8"/>
            <color indexed="81"/>
            <rFont val="Tahoma"/>
            <family val="2"/>
          </rPr>
          <t>cmercant: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0"/>
            <color indexed="81"/>
            <rFont val="Tahoma"/>
            <family val="2"/>
          </rPr>
          <t xml:space="preserve">McMaster Solar Car Commitment
</t>
        </r>
      </text>
    </comment>
    <comment ref="I40" authorId="0">
      <text>
        <r>
          <rPr>
            <b/>
            <sz val="10"/>
            <color indexed="81"/>
            <rFont val="Tahoma"/>
            <family val="2"/>
          </rPr>
          <t>cmercant:</t>
        </r>
        <r>
          <rPr>
            <sz val="10"/>
            <color indexed="81"/>
            <rFont val="Tahoma"/>
            <family val="2"/>
          </rPr>
          <t xml:space="preserve">
Includes project work $5K Provincial Envirothon Competition
</t>
        </r>
      </text>
    </comment>
    <comment ref="J40" authorId="0">
      <text>
        <r>
          <rPr>
            <b/>
            <sz val="8"/>
            <color indexed="81"/>
            <rFont val="Tahoma"/>
            <family val="2"/>
          </rPr>
          <t>cmercant: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0"/>
            <color indexed="81"/>
            <rFont val="Tahoma"/>
            <family val="2"/>
          </rPr>
          <t>Envir of the Year Award Sponsorship</t>
        </r>
      </text>
    </comment>
    <comment ref="K40" authorId="0">
      <text>
        <r>
          <rPr>
            <b/>
            <sz val="10"/>
            <color indexed="81"/>
            <rFont val="Tahoma"/>
            <family val="2"/>
          </rPr>
          <t>EOTY Dinner $200 + econet $200 + dofasco printing $432</t>
        </r>
      </text>
    </comment>
    <comment ref="L40" authorId="0">
      <text>
        <r>
          <rPr>
            <b/>
            <sz val="12"/>
            <color indexed="81"/>
            <rFont val="Tahoma"/>
            <family val="2"/>
          </rPr>
          <t>cmercant:</t>
        </r>
        <r>
          <rPr>
            <sz val="12"/>
            <color indexed="81"/>
            <rFont val="Tahoma"/>
            <family val="2"/>
          </rPr>
          <t xml:space="preserve">
Added the 10K from BARC in here and has made it available to groups who are applying for sponsorship</t>
        </r>
      </text>
    </comment>
    <comment ref="T89" authorId="0">
      <text>
        <r>
          <rPr>
            <b/>
            <sz val="11"/>
            <color indexed="81"/>
            <rFont val="Tahoma"/>
            <family val="2"/>
          </rPr>
          <t>cmercant:</t>
        </r>
        <r>
          <rPr>
            <sz val="11"/>
            <color indexed="81"/>
            <rFont val="Tahoma"/>
            <family val="2"/>
          </rPr>
          <t xml:space="preserve">
Assumed $60,000 a year X 5 years = 300,000</t>
        </r>
      </text>
    </comment>
  </commentList>
</comments>
</file>

<file path=xl/sharedStrings.xml><?xml version="1.0" encoding="utf-8"?>
<sst xmlns="http://schemas.openxmlformats.org/spreadsheetml/2006/main" count="225" uniqueCount="164">
  <si>
    <t>Costs</t>
  </si>
  <si>
    <t xml:space="preserve"> </t>
  </si>
  <si>
    <t>Admin</t>
  </si>
  <si>
    <t>Operating Costs</t>
  </si>
  <si>
    <t xml:space="preserve">Administration </t>
  </si>
  <si>
    <t>Auditor Fees</t>
  </si>
  <si>
    <t>Insurance</t>
  </si>
  <si>
    <t>Miscellaneous</t>
  </si>
  <si>
    <t>No cost beyond admin identified</t>
  </si>
  <si>
    <t xml:space="preserve"> Grand Total</t>
  </si>
  <si>
    <t>Property</t>
  </si>
  <si>
    <t>Employee</t>
  </si>
  <si>
    <t>Tax</t>
  </si>
  <si>
    <t>Total</t>
  </si>
  <si>
    <t>%</t>
  </si>
  <si>
    <t># Emp's</t>
  </si>
  <si>
    <t>Tax Total</t>
  </si>
  <si>
    <t>Assessment</t>
  </si>
  <si>
    <t>Air Liquide</t>
  </si>
  <si>
    <t>Bunge</t>
  </si>
  <si>
    <t xml:space="preserve">Columbian Chemicals </t>
  </si>
  <si>
    <t>Expenses</t>
  </si>
  <si>
    <t>Sponsorship</t>
  </si>
  <si>
    <t>Surplus</t>
  </si>
  <si>
    <t>GST</t>
  </si>
  <si>
    <t>Bitumar (Hamilton) Inc</t>
  </si>
  <si>
    <t>Op Budget</t>
  </si>
  <si>
    <t>Displays</t>
  </si>
  <si>
    <t>Liberty Energy</t>
  </si>
  <si>
    <t xml:space="preserve">Outdoor Education Program </t>
  </si>
  <si>
    <t>HIEA Newsletter</t>
  </si>
  <si>
    <t>HIEA Web-site</t>
  </si>
  <si>
    <t>HIEA pamphlet</t>
  </si>
  <si>
    <t>HIEA Magnet</t>
  </si>
  <si>
    <t>Green Hamilton</t>
  </si>
  <si>
    <t>Upwind/Downwind Conference</t>
  </si>
  <si>
    <t>Newspaper Ad re. CAP</t>
  </si>
  <si>
    <t>Continuous Improvement Sub Total</t>
  </si>
  <si>
    <t>Education</t>
  </si>
  <si>
    <t>Operating Costs Sub Total</t>
  </si>
  <si>
    <t>Operating</t>
  </si>
  <si>
    <t>Community Initiatives Sub Total</t>
  </si>
  <si>
    <t>Education Initiatives Sub Total</t>
  </si>
  <si>
    <t>Cont. Improv</t>
  </si>
  <si>
    <t>Salary</t>
  </si>
  <si>
    <t>Mileage</t>
  </si>
  <si>
    <t>Supplies</t>
  </si>
  <si>
    <t>Description</t>
  </si>
  <si>
    <t>paper, toner, office supplies, report printing, meeting refreshments</t>
  </si>
  <si>
    <t>Administration Costs</t>
  </si>
  <si>
    <t>supplies - stamps, envelopes</t>
  </si>
  <si>
    <t>Westway Terminals</t>
  </si>
  <si>
    <t>Lafarge Canada</t>
  </si>
  <si>
    <t>U. S.  Steel</t>
  </si>
  <si>
    <t>Flexible</t>
  </si>
  <si>
    <t>Ongoing Initiatives Sub Total</t>
  </si>
  <si>
    <t>Flexible Initiatives Sub Total</t>
  </si>
  <si>
    <t>Budgeted Dues</t>
  </si>
  <si>
    <t>HIEA Survey</t>
  </si>
  <si>
    <t>Annual Meeting</t>
  </si>
  <si>
    <t>Association Growth - advertisments</t>
  </si>
  <si>
    <t>AIM Environmental</t>
  </si>
  <si>
    <t>Hamilton Harbour Com.</t>
  </si>
  <si>
    <t>Possible new members</t>
  </si>
  <si>
    <t>Newalta</t>
  </si>
  <si>
    <t>Waterfront Trust - Fishing Derby</t>
  </si>
  <si>
    <t>Triple M Metals</t>
  </si>
  <si>
    <t xml:space="preserve">Children's Water festival </t>
  </si>
  <si>
    <t>misc</t>
  </si>
  <si>
    <t>Speaker gifts</t>
  </si>
  <si>
    <t>Offsite venue costs for CAP meetings</t>
  </si>
  <si>
    <t>HIEA Telephone/internet</t>
  </si>
  <si>
    <t>Provincial Environmental</t>
  </si>
  <si>
    <t>Budget Environmental</t>
  </si>
  <si>
    <t>Canada Asphalt</t>
  </si>
  <si>
    <t>McAsphalt</t>
  </si>
  <si>
    <t>Fairmont Minerals</t>
  </si>
  <si>
    <t>Ruetgers</t>
  </si>
  <si>
    <t>Sanimax</t>
  </si>
  <si>
    <t xml:space="preserve">Biox </t>
  </si>
  <si>
    <t>MANA</t>
  </si>
  <si>
    <t>HIEA 2012 Dues</t>
  </si>
  <si>
    <t>Earth Day Sponsorship ($3,000 for sponsorship, $750 for prizes)</t>
  </si>
  <si>
    <t>Sustainable Hamilton</t>
  </si>
  <si>
    <t>Dues Adjustment</t>
  </si>
  <si>
    <t>Dues Adjustments</t>
  </si>
  <si>
    <t>net of fees at</t>
  </si>
  <si>
    <t>minimum level</t>
  </si>
  <si>
    <t>Check</t>
  </si>
  <si>
    <t>Estimated HST Rebate</t>
  </si>
  <si>
    <t>Sponsorship Requests</t>
  </si>
  <si>
    <t>Hamilton Naturalist Club</t>
  </si>
  <si>
    <t xml:space="preserve">Miscellaneous promotional </t>
  </si>
  <si>
    <t>2013 Dues</t>
  </si>
  <si>
    <t xml:space="preserve">Earth Day </t>
  </si>
  <si>
    <t>ArcelorMittal Dofasco</t>
  </si>
  <si>
    <t>ArcelorMittal Hamilton East</t>
  </si>
  <si>
    <t>additional scholarships</t>
  </si>
  <si>
    <t>approximately 220 km per month @0.50 per</t>
  </si>
  <si>
    <t>Bookkeeper - @ $30.00 per hour - $625 per quarter</t>
  </si>
  <si>
    <t>approximately 100 km per month @0.50 per</t>
  </si>
  <si>
    <t>HIEA appreciation Event (Dinner Cruise or other as determined)</t>
  </si>
  <si>
    <t>HIEA Business Plan Historical Trend</t>
  </si>
  <si>
    <t>Display Material</t>
  </si>
  <si>
    <t>Open House</t>
  </si>
  <si>
    <t>Dinner Cruise</t>
  </si>
  <si>
    <t>Legal Fees</t>
  </si>
  <si>
    <t>Operating Sub Total</t>
  </si>
  <si>
    <t>OPERATING</t>
  </si>
  <si>
    <t>Community Initiatives</t>
  </si>
  <si>
    <t>Baseline Data/Survey</t>
  </si>
  <si>
    <t>Annual Conference</t>
  </si>
  <si>
    <t>offsite venue cost</t>
  </si>
  <si>
    <t>Magnets</t>
  </si>
  <si>
    <t>Community Sub Total</t>
  </si>
  <si>
    <t>Community Support</t>
  </si>
  <si>
    <t>Education Initiatives</t>
  </si>
  <si>
    <t>Harbour Initiatives</t>
  </si>
  <si>
    <t>Earth Day Sponsorship</t>
  </si>
  <si>
    <t>HIEA Bursary (Scholarship)</t>
  </si>
  <si>
    <t>Commuter Challenge</t>
  </si>
  <si>
    <t>promotional items</t>
  </si>
  <si>
    <t>Education Sub Total</t>
  </si>
  <si>
    <t>Educational Support</t>
  </si>
  <si>
    <t>Continuous Improvement</t>
  </si>
  <si>
    <t>Continuous Sub Total</t>
  </si>
  <si>
    <t>Education Support</t>
  </si>
  <si>
    <t>Ask</t>
  </si>
  <si>
    <t>Got</t>
  </si>
  <si>
    <t>Children's Waterfestival</t>
  </si>
  <si>
    <t>BARC - Yellow Fish Road</t>
  </si>
  <si>
    <t>BARC - Adopt a creek</t>
  </si>
  <si>
    <t>BARC - Towards Safe Harbours</t>
  </si>
  <si>
    <t>BARC Stream of Dreams</t>
  </si>
  <si>
    <t>Sir Winston Churchill Secondary School</t>
  </si>
  <si>
    <t>Royal Botanical Gardens</t>
  </si>
  <si>
    <t>Environmentalist of the Year</t>
  </si>
  <si>
    <t>Rotary Environmental Conference</t>
  </si>
  <si>
    <t>Bay Area Science and Engineering Fair</t>
  </si>
  <si>
    <t>Hamilton Conservation Authority</t>
  </si>
  <si>
    <t>Green Venture</t>
  </si>
  <si>
    <t>Amount Contributed to Community Events</t>
  </si>
  <si>
    <t>Amount Contributed to Education Events</t>
  </si>
  <si>
    <t>Amount Contributed to Environment Initiatives:</t>
  </si>
  <si>
    <t>Total HIEA Commitment ($):</t>
  </si>
  <si>
    <t>Total HIEA Commitment (FTE - Volunteer):</t>
  </si>
  <si>
    <t>Total HIEA Commitment ($ and Volunteer):</t>
  </si>
  <si>
    <r>
      <t>Association Growth -</t>
    </r>
    <r>
      <rPr>
        <b/>
        <sz val="11"/>
        <rFont val="Candara"/>
        <family val="2"/>
      </rPr>
      <t xml:space="preserve"> NEW</t>
    </r>
  </si>
  <si>
    <r>
      <t xml:space="preserve">Envir Education </t>
    </r>
    <r>
      <rPr>
        <b/>
        <i/>
        <sz val="11"/>
        <rFont val="Candara"/>
        <family val="2"/>
      </rPr>
      <t>* Flexible</t>
    </r>
  </si>
  <si>
    <t>Over the Past 5 Years - 2008 to 2012</t>
  </si>
  <si>
    <r>
      <t>Envir Education (available funds to sponsor events for 2013)</t>
    </r>
    <r>
      <rPr>
        <b/>
        <i/>
        <sz val="14"/>
        <rFont val="Candara"/>
        <family val="2"/>
      </rPr>
      <t xml:space="preserve"> * Flexible</t>
    </r>
  </si>
  <si>
    <t>Total Flexible Funds</t>
  </si>
  <si>
    <t>5 year total
2009 to 2013</t>
  </si>
  <si>
    <t>BUDGET
proposed</t>
  </si>
  <si>
    <t>Communications Coordinator - @ $31.50 per hour approx. 12.5 hrs per week</t>
  </si>
  <si>
    <r>
      <t xml:space="preserve">Envir Education </t>
    </r>
    <r>
      <rPr>
        <b/>
        <i/>
        <sz val="11"/>
        <rFont val="Candara"/>
        <family val="2"/>
      </rPr>
      <t>* Flexible
ACTUALS</t>
    </r>
  </si>
  <si>
    <t>Conservation Authority - birding platform - not part of original budget</t>
  </si>
  <si>
    <t>Total Spend since 1998</t>
  </si>
  <si>
    <t>Answering Service/telephone</t>
  </si>
  <si>
    <t>2014 Dues</t>
  </si>
  <si>
    <t xml:space="preserve">BARC </t>
  </si>
  <si>
    <t>distribution to be determined at technical committee</t>
  </si>
  <si>
    <t>RBG</t>
  </si>
  <si>
    <t>Conservation Authority</t>
  </si>
</sst>
</file>

<file path=xl/styles.xml><?xml version="1.0" encoding="utf-8"?>
<styleSheet xmlns="http://schemas.openxmlformats.org/spreadsheetml/2006/main">
  <numFmts count="8">
    <numFmt numFmtId="5" formatCode="&quot;$&quot;#,##0_);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&quot;$&quot;#,##0"/>
    <numFmt numFmtId="166" formatCode="0.0%"/>
    <numFmt numFmtId="167" formatCode="_-* #,##0_-;\-* #,##0_-;_-* &quot;-&quot;??_-;_-@_-"/>
    <numFmt numFmtId="168" formatCode="&quot;$&quot;#,##0.00"/>
  </numFmts>
  <fonts count="37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2"/>
      <color indexed="81"/>
      <name val="Tahoma"/>
      <family val="2"/>
    </font>
    <font>
      <sz val="12"/>
      <color indexed="81"/>
      <name val="Tahoma"/>
      <family val="2"/>
    </font>
    <font>
      <sz val="14"/>
      <color indexed="81"/>
      <name val="Tahoma"/>
      <family val="2"/>
    </font>
    <font>
      <b/>
      <sz val="14"/>
      <color indexed="81"/>
      <name val="Tahoma"/>
      <family val="2"/>
    </font>
    <font>
      <b/>
      <u val="singleAccounting"/>
      <sz val="10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name val="Arial"/>
      <family val="2"/>
    </font>
    <font>
      <sz val="10"/>
      <color indexed="81"/>
      <name val="Tahoma"/>
      <family val="2"/>
    </font>
    <font>
      <b/>
      <sz val="16"/>
      <color indexed="81"/>
      <name val="Tahoma"/>
      <family val="2"/>
    </font>
    <font>
      <sz val="16"/>
      <color indexed="81"/>
      <name val="Tahoma"/>
      <family val="2"/>
    </font>
    <font>
      <b/>
      <sz val="10"/>
      <color indexed="81"/>
      <name val="Tahoma"/>
      <family val="2"/>
    </font>
    <font>
      <b/>
      <sz val="11"/>
      <color indexed="81"/>
      <name val="Tahoma"/>
      <family val="2"/>
    </font>
    <font>
      <sz val="11"/>
      <color indexed="81"/>
      <name val="Tahoma"/>
      <family val="2"/>
    </font>
    <font>
      <b/>
      <sz val="11"/>
      <name val="Candara"/>
      <family val="2"/>
    </font>
    <font>
      <sz val="11"/>
      <name val="Candara"/>
      <family val="2"/>
    </font>
    <font>
      <b/>
      <sz val="11"/>
      <color theme="6" tint="-0.499984740745262"/>
      <name val="Candara"/>
      <family val="2"/>
    </font>
    <font>
      <b/>
      <sz val="11"/>
      <color indexed="61"/>
      <name val="Candara"/>
      <family val="2"/>
    </font>
    <font>
      <b/>
      <i/>
      <sz val="11"/>
      <name val="Candara"/>
      <family val="2"/>
    </font>
    <font>
      <b/>
      <sz val="24"/>
      <name val="Candara"/>
      <family val="2"/>
    </font>
    <font>
      <sz val="10"/>
      <name val="Candara"/>
      <family val="2"/>
    </font>
    <font>
      <b/>
      <sz val="26"/>
      <name val="Candara"/>
      <family val="2"/>
    </font>
    <font>
      <b/>
      <sz val="12"/>
      <name val="Candara"/>
      <family val="2"/>
    </font>
    <font>
      <b/>
      <sz val="14"/>
      <name val="Candara"/>
      <family val="2"/>
    </font>
    <font>
      <sz val="14"/>
      <name val="Candara"/>
      <family val="2"/>
    </font>
    <font>
      <sz val="14"/>
      <color indexed="8"/>
      <name val="Candara"/>
      <family val="2"/>
    </font>
    <font>
      <b/>
      <sz val="14"/>
      <color indexed="61"/>
      <name val="Candara"/>
      <family val="2"/>
    </font>
    <font>
      <b/>
      <i/>
      <sz val="14"/>
      <name val="Candara"/>
      <family val="2"/>
    </font>
    <font>
      <sz val="18"/>
      <name val="Candara"/>
      <family val="2"/>
    </font>
    <font>
      <b/>
      <sz val="18"/>
      <name val="Candara"/>
      <family val="2"/>
    </font>
    <font>
      <sz val="9"/>
      <name val="Candara"/>
      <family val="2"/>
    </font>
    <font>
      <sz val="24"/>
      <name val="Candara"/>
      <family val="2"/>
    </font>
  </fonts>
  <fills count="1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23"/>
        <bgColor indexed="64"/>
      </patternFill>
    </fill>
  </fills>
  <borders count="7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2" fillId="0" borderId="0" applyFont="0" applyFill="0" applyBorder="0" applyAlignment="0" applyProtection="0"/>
    <xf numFmtId="44" fontId="12" fillId="0" borderId="0" applyFont="0" applyFill="0" applyBorder="0" applyAlignment="0" applyProtection="0"/>
  </cellStyleXfs>
  <cellXfs count="465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Border="1" applyAlignment="1">
      <alignment vertical="center"/>
    </xf>
    <xf numFmtId="164" fontId="3" fillId="0" borderId="0" xfId="1" applyFont="1" applyAlignment="1">
      <alignment vertical="center"/>
    </xf>
    <xf numFmtId="164" fontId="4" fillId="0" borderId="0" xfId="1" applyFont="1" applyAlignment="1">
      <alignment vertical="center"/>
    </xf>
    <xf numFmtId="0" fontId="3" fillId="0" borderId="0" xfId="0" quotePrefix="1" applyFont="1" applyAlignment="1">
      <alignment horizontal="left" vertical="center"/>
    </xf>
    <xf numFmtId="164" fontId="3" fillId="0" borderId="0" xfId="1" applyFont="1" applyFill="1" applyAlignment="1">
      <alignment horizontal="left" vertical="center"/>
    </xf>
    <xf numFmtId="164" fontId="3" fillId="0" borderId="0" xfId="1" applyFont="1" applyFill="1" applyAlignment="1">
      <alignment vertical="center"/>
    </xf>
    <xf numFmtId="164" fontId="3" fillId="0" borderId="0" xfId="1" applyFont="1" applyBorder="1" applyAlignment="1">
      <alignment vertical="center"/>
    </xf>
    <xf numFmtId="0" fontId="2" fillId="0" borderId="0" xfId="0" quotePrefix="1" applyFont="1" applyAlignment="1">
      <alignment horizontal="left" vertical="center"/>
    </xf>
    <xf numFmtId="0" fontId="2" fillId="0" borderId="37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164" fontId="2" fillId="0" borderId="38" xfId="1" applyFont="1" applyBorder="1" applyAlignment="1">
      <alignment horizontal="center" vertical="center"/>
    </xf>
    <xf numFmtId="164" fontId="2" fillId="0" borderId="40" xfId="1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41" xfId="0" quotePrefix="1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2" fillId="0" borderId="44" xfId="1" applyFont="1" applyBorder="1" applyAlignment="1">
      <alignment horizontal="center" vertical="center"/>
    </xf>
    <xf numFmtId="10" fontId="3" fillId="0" borderId="14" xfId="1" applyNumberFormat="1" applyFont="1" applyBorder="1" applyAlignment="1">
      <alignment horizontal="right" vertical="center"/>
    </xf>
    <xf numFmtId="164" fontId="3" fillId="0" borderId="15" xfId="1" applyFont="1" applyBorder="1" applyAlignment="1">
      <alignment horizontal="right" vertical="center"/>
    </xf>
    <xf numFmtId="0" fontId="2" fillId="0" borderId="13" xfId="0" applyFont="1" applyFill="1" applyBorder="1" applyAlignment="1">
      <alignment vertical="center"/>
    </xf>
    <xf numFmtId="10" fontId="3" fillId="0" borderId="14" xfId="1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3" fontId="3" fillId="0" borderId="14" xfId="0" applyNumberFormat="1" applyFont="1" applyFill="1" applyBorder="1" applyAlignment="1">
      <alignment horizontal="right" vertical="center"/>
    </xf>
    <xf numFmtId="2" fontId="3" fillId="0" borderId="14" xfId="0" applyNumberFormat="1" applyFont="1" applyFill="1" applyBorder="1" applyAlignment="1">
      <alignment horizontal="right" vertical="center"/>
    </xf>
    <xf numFmtId="0" fontId="0" fillId="0" borderId="0" xfId="0" applyFill="1" applyAlignment="1">
      <alignment vertical="center"/>
    </xf>
    <xf numFmtId="164" fontId="3" fillId="4" borderId="14" xfId="0" applyNumberFormat="1" applyFont="1" applyFill="1" applyBorder="1" applyAlignment="1">
      <alignment vertical="center"/>
    </xf>
    <xf numFmtId="164" fontId="3" fillId="0" borderId="15" xfId="0" applyNumberFormat="1" applyFont="1" applyFill="1" applyBorder="1" applyAlignment="1">
      <alignment vertical="center"/>
    </xf>
    <xf numFmtId="0" fontId="2" fillId="0" borderId="45" xfId="0" applyFont="1" applyFill="1" applyBorder="1" applyAlignment="1">
      <alignment vertical="center"/>
    </xf>
    <xf numFmtId="164" fontId="3" fillId="4" borderId="46" xfId="0" applyNumberFormat="1" applyFont="1" applyFill="1" applyBorder="1" applyAlignment="1">
      <alignment vertical="center"/>
    </xf>
    <xf numFmtId="164" fontId="3" fillId="0" borderId="47" xfId="0" applyNumberFormat="1" applyFont="1" applyFill="1" applyBorder="1" applyAlignment="1">
      <alignment vertical="center"/>
    </xf>
    <xf numFmtId="167" fontId="3" fillId="0" borderId="0" xfId="0" applyNumberFormat="1" applyFont="1" applyAlignment="1">
      <alignment vertical="center"/>
    </xf>
    <xf numFmtId="167" fontId="3" fillId="0" borderId="0" xfId="0" applyNumberFormat="1" applyFont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10" fontId="3" fillId="0" borderId="0" xfId="0" applyNumberFormat="1" applyFont="1" applyBorder="1" applyAlignment="1">
      <alignment vertical="center"/>
    </xf>
    <xf numFmtId="164" fontId="3" fillId="0" borderId="0" xfId="0" applyNumberFormat="1" applyFont="1" applyFill="1" applyBorder="1" applyAlignment="1">
      <alignment vertical="center"/>
    </xf>
    <xf numFmtId="164" fontId="3" fillId="0" borderId="0" xfId="0" applyNumberFormat="1" applyFont="1" applyBorder="1" applyAlignment="1">
      <alignment horizontal="right" vertical="center"/>
    </xf>
    <xf numFmtId="167" fontId="3" fillId="0" borderId="0" xfId="1" applyNumberFormat="1" applyFont="1" applyBorder="1" applyAlignment="1">
      <alignment vertical="center"/>
    </xf>
    <xf numFmtId="2" fontId="3" fillId="0" borderId="5" xfId="0" applyNumberFormat="1" applyFont="1" applyBorder="1" applyAlignment="1">
      <alignment vertical="center"/>
    </xf>
    <xf numFmtId="164" fontId="3" fillId="0" borderId="6" xfId="0" applyNumberFormat="1" applyFont="1" applyBorder="1" applyAlignment="1">
      <alignment vertical="center"/>
    </xf>
    <xf numFmtId="164" fontId="3" fillId="0" borderId="0" xfId="1" applyFont="1" applyBorder="1" applyAlignment="1">
      <alignment horizontal="right" vertical="center"/>
    </xf>
    <xf numFmtId="166" fontId="3" fillId="0" borderId="0" xfId="2" applyNumberFormat="1" applyFont="1" applyBorder="1" applyAlignment="1">
      <alignment vertical="center"/>
    </xf>
    <xf numFmtId="10" fontId="3" fillId="0" borderId="46" xfId="1" applyNumberFormat="1" applyFont="1" applyFill="1" applyBorder="1" applyAlignment="1">
      <alignment horizontal="right" vertical="center"/>
    </xf>
    <xf numFmtId="2" fontId="3" fillId="0" borderId="10" xfId="0" applyNumberFormat="1" applyFont="1" applyBorder="1" applyAlignment="1">
      <alignment horizontal="right" vertical="center"/>
    </xf>
    <xf numFmtId="2" fontId="3" fillId="0" borderId="10" xfId="1" applyNumberFormat="1" applyFont="1" applyBorder="1" applyAlignment="1">
      <alignment horizontal="right" vertical="center"/>
    </xf>
    <xf numFmtId="2" fontId="3" fillId="0" borderId="14" xfId="0" applyNumberFormat="1" applyFont="1" applyBorder="1" applyAlignment="1">
      <alignment horizontal="right" vertical="center"/>
    </xf>
    <xf numFmtId="2" fontId="3" fillId="0" borderId="14" xfId="1" applyNumberFormat="1" applyFont="1" applyBorder="1" applyAlignment="1">
      <alignment horizontal="right" vertical="center"/>
    </xf>
    <xf numFmtId="2" fontId="3" fillId="0" borderId="14" xfId="1" applyNumberFormat="1" applyFont="1" applyFill="1" applyBorder="1" applyAlignment="1">
      <alignment horizontal="right" vertical="center"/>
    </xf>
    <xf numFmtId="2" fontId="3" fillId="0" borderId="46" xfId="0" applyNumberFormat="1" applyFont="1" applyFill="1" applyBorder="1" applyAlignment="1">
      <alignment horizontal="right" vertical="center"/>
    </xf>
    <xf numFmtId="3" fontId="3" fillId="0" borderId="14" xfId="1" applyNumberFormat="1" applyFont="1" applyBorder="1" applyAlignment="1">
      <alignment horizontal="right" vertical="center"/>
    </xf>
    <xf numFmtId="3" fontId="3" fillId="0" borderId="14" xfId="1" applyNumberFormat="1" applyFont="1" applyFill="1" applyBorder="1" applyAlignment="1">
      <alignment horizontal="right" vertical="center"/>
    </xf>
    <xf numFmtId="3" fontId="3" fillId="0" borderId="46" xfId="0" applyNumberFormat="1" applyFont="1" applyFill="1" applyBorder="1" applyAlignment="1">
      <alignment horizontal="right" vertical="center"/>
    </xf>
    <xf numFmtId="164" fontId="3" fillId="0" borderId="0" xfId="1" applyFont="1" applyFill="1" applyBorder="1" applyAlignment="1">
      <alignment vertical="center"/>
    </xf>
    <xf numFmtId="2" fontId="3" fillId="0" borderId="0" xfId="0" applyNumberFormat="1" applyFont="1" applyBorder="1" applyAlignment="1">
      <alignment vertical="center"/>
    </xf>
    <xf numFmtId="10" fontId="3" fillId="0" borderId="0" xfId="1" applyNumberFormat="1" applyFont="1" applyFill="1" applyBorder="1" applyAlignment="1">
      <alignment vertical="center"/>
    </xf>
    <xf numFmtId="164" fontId="3" fillId="0" borderId="0" xfId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164" fontId="2" fillId="0" borderId="0" xfId="1" applyFont="1" applyFill="1" applyAlignment="1">
      <alignment vertical="center"/>
    </xf>
    <xf numFmtId="10" fontId="3" fillId="0" borderId="51" xfId="1" applyNumberFormat="1" applyFont="1" applyBorder="1" applyAlignment="1">
      <alignment horizontal="right" vertical="center"/>
    </xf>
    <xf numFmtId="164" fontId="3" fillId="5" borderId="14" xfId="1" applyFont="1" applyFill="1" applyBorder="1" applyAlignment="1">
      <alignment vertical="center"/>
    </xf>
    <xf numFmtId="164" fontId="3" fillId="5" borderId="46" xfId="0" applyNumberFormat="1" applyFont="1" applyFill="1" applyBorder="1" applyAlignment="1">
      <alignment vertical="center"/>
    </xf>
    <xf numFmtId="164" fontId="3" fillId="5" borderId="51" xfId="1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3" fontId="3" fillId="0" borderId="0" xfId="0" applyNumberFormat="1" applyFont="1" applyFill="1" applyBorder="1" applyAlignment="1">
      <alignment horizontal="right" vertical="center"/>
    </xf>
    <xf numFmtId="2" fontId="3" fillId="0" borderId="0" xfId="0" applyNumberFormat="1" applyFont="1" applyFill="1" applyBorder="1" applyAlignment="1">
      <alignment horizontal="right" vertical="center"/>
    </xf>
    <xf numFmtId="10" fontId="3" fillId="0" borderId="0" xfId="1" applyNumberFormat="1" applyFont="1" applyFill="1" applyBorder="1" applyAlignment="1">
      <alignment horizontal="right" vertical="center"/>
    </xf>
    <xf numFmtId="164" fontId="3" fillId="0" borderId="53" xfId="1" applyFont="1" applyBorder="1" applyAlignment="1">
      <alignment horizontal="right" vertical="center"/>
    </xf>
    <xf numFmtId="164" fontId="2" fillId="0" borderId="51" xfId="1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2" xfId="0" applyFont="1" applyFill="1" applyBorder="1" applyAlignment="1">
      <alignment vertical="center"/>
    </xf>
    <xf numFmtId="0" fontId="2" fillId="0" borderId="54" xfId="0" applyFont="1" applyFill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Fill="1" applyBorder="1" applyAlignment="1">
      <alignment horizontal="right" vertical="center"/>
    </xf>
    <xf numFmtId="3" fontId="3" fillId="0" borderId="13" xfId="0" applyNumberFormat="1" applyFont="1" applyFill="1" applyBorder="1" applyAlignment="1">
      <alignment horizontal="right" vertical="center"/>
    </xf>
    <xf numFmtId="164" fontId="3" fillId="0" borderId="23" xfId="1" applyFont="1" applyBorder="1" applyAlignment="1">
      <alignment horizontal="right" vertical="center"/>
    </xf>
    <xf numFmtId="164" fontId="3" fillId="4" borderId="55" xfId="0" applyNumberFormat="1" applyFont="1" applyFill="1" applyBorder="1" applyAlignment="1">
      <alignment vertical="center"/>
    </xf>
    <xf numFmtId="164" fontId="3" fillId="4" borderId="53" xfId="0" applyNumberFormat="1" applyFont="1" applyFill="1" applyBorder="1" applyAlignment="1">
      <alignment vertical="center"/>
    </xf>
    <xf numFmtId="164" fontId="3" fillId="0" borderId="14" xfId="1" applyFont="1" applyBorder="1" applyAlignment="1">
      <alignment horizontal="right" vertical="center"/>
    </xf>
    <xf numFmtId="164" fontId="3" fillId="0" borderId="22" xfId="1" applyFont="1" applyBorder="1" applyAlignment="1">
      <alignment horizontal="right" vertical="center"/>
    </xf>
    <xf numFmtId="164" fontId="3" fillId="0" borderId="47" xfId="1" applyFont="1" applyBorder="1" applyAlignment="1">
      <alignment horizontal="right" vertical="center"/>
    </xf>
    <xf numFmtId="10" fontId="3" fillId="0" borderId="25" xfId="1" applyNumberFormat="1" applyFont="1" applyBorder="1" applyAlignment="1">
      <alignment vertical="center"/>
    </xf>
    <xf numFmtId="164" fontId="3" fillId="5" borderId="28" xfId="1" applyFont="1" applyFill="1" applyBorder="1" applyAlignment="1">
      <alignment vertical="center"/>
    </xf>
    <xf numFmtId="2" fontId="3" fillId="0" borderId="46" xfId="1" applyNumberFormat="1" applyFont="1" applyFill="1" applyBorder="1" applyAlignment="1">
      <alignment horizontal="right" vertical="center"/>
    </xf>
    <xf numFmtId="164" fontId="3" fillId="3" borderId="6" xfId="1" applyFont="1" applyFill="1" applyBorder="1" applyAlignment="1">
      <alignment vertical="center"/>
    </xf>
    <xf numFmtId="164" fontId="3" fillId="3" borderId="0" xfId="1" applyFont="1" applyFill="1" applyBorder="1" applyAlignment="1">
      <alignment vertical="center"/>
    </xf>
    <xf numFmtId="0" fontId="0" fillId="0" borderId="27" xfId="0" applyBorder="1" applyAlignment="1">
      <alignment vertical="center"/>
    </xf>
    <xf numFmtId="0" fontId="0" fillId="0" borderId="43" xfId="0" applyBorder="1" applyAlignment="1">
      <alignment vertical="center"/>
    </xf>
    <xf numFmtId="0" fontId="0" fillId="0" borderId="42" xfId="0" applyBorder="1" applyAlignment="1">
      <alignment vertical="center"/>
    </xf>
    <xf numFmtId="43" fontId="0" fillId="0" borderId="43" xfId="0" applyNumberFormat="1" applyFill="1" applyBorder="1" applyAlignment="1">
      <alignment vertical="center"/>
    </xf>
    <xf numFmtId="43" fontId="0" fillId="0" borderId="42" xfId="0" applyNumberFormat="1" applyBorder="1" applyAlignment="1">
      <alignment vertical="center"/>
    </xf>
    <xf numFmtId="0" fontId="0" fillId="0" borderId="43" xfId="0" applyFill="1" applyBorder="1" applyAlignment="1">
      <alignment vertical="center"/>
    </xf>
    <xf numFmtId="43" fontId="0" fillId="0" borderId="56" xfId="0" applyNumberFormat="1" applyFill="1" applyBorder="1" applyAlignment="1">
      <alignment vertical="center"/>
    </xf>
    <xf numFmtId="43" fontId="0" fillId="0" borderId="57" xfId="0" applyNumberFormat="1" applyBorder="1" applyAlignment="1">
      <alignment vertical="center"/>
    </xf>
    <xf numFmtId="0" fontId="2" fillId="0" borderId="58" xfId="0" applyFont="1" applyBorder="1" applyAlignment="1">
      <alignment vertical="center"/>
    </xf>
    <xf numFmtId="0" fontId="2" fillId="6" borderId="58" xfId="0" applyFont="1" applyFill="1" applyBorder="1" applyAlignment="1">
      <alignment horizontal="center" vertical="center"/>
    </xf>
    <xf numFmtId="0" fontId="2" fillId="6" borderId="59" xfId="0" applyFont="1" applyFill="1" applyBorder="1" applyAlignment="1">
      <alignment horizontal="center" vertical="center"/>
    </xf>
    <xf numFmtId="0" fontId="2" fillId="6" borderId="27" xfId="0" applyFont="1" applyFill="1" applyBorder="1" applyAlignment="1">
      <alignment horizontal="center" vertical="center"/>
    </xf>
    <xf numFmtId="164" fontId="2" fillId="5" borderId="43" xfId="1" applyFont="1" applyFill="1" applyBorder="1" applyAlignment="1">
      <alignment vertical="center"/>
    </xf>
    <xf numFmtId="164" fontId="2" fillId="5" borderId="42" xfId="1" applyFont="1" applyFill="1" applyBorder="1" applyAlignment="1">
      <alignment vertical="center"/>
    </xf>
    <xf numFmtId="10" fontId="2" fillId="2" borderId="43" xfId="1" applyNumberFormat="1" applyFont="1" applyFill="1" applyBorder="1" applyAlignment="1">
      <alignment horizontal="center" vertical="center"/>
    </xf>
    <xf numFmtId="39" fontId="2" fillId="2" borderId="42" xfId="1" applyNumberFormat="1" applyFont="1" applyFill="1" applyBorder="1" applyAlignment="1">
      <alignment vertical="center"/>
    </xf>
    <xf numFmtId="164" fontId="2" fillId="3" borderId="43" xfId="1" applyFont="1" applyFill="1" applyBorder="1" applyAlignment="1">
      <alignment vertical="center"/>
    </xf>
    <xf numFmtId="39" fontId="9" fillId="3" borderId="42" xfId="1" applyNumberFormat="1" applyFont="1" applyFill="1" applyBorder="1" applyAlignment="1">
      <alignment vertical="center"/>
    </xf>
    <xf numFmtId="164" fontId="2" fillId="7" borderId="56" xfId="1" applyFont="1" applyFill="1" applyBorder="1" applyAlignment="1">
      <alignment vertical="center"/>
    </xf>
    <xf numFmtId="164" fontId="2" fillId="7" borderId="57" xfId="1" applyFont="1" applyFill="1" applyBorder="1" applyAlignment="1">
      <alignment vertical="center"/>
    </xf>
    <xf numFmtId="9" fontId="3" fillId="0" borderId="60" xfId="2" applyFont="1" applyBorder="1" applyAlignment="1">
      <alignment horizontal="center" vertical="center"/>
    </xf>
    <xf numFmtId="164" fontId="2" fillId="5" borderId="0" xfId="1" applyFont="1" applyFill="1" applyBorder="1" applyAlignment="1">
      <alignment horizontal="right" vertical="center"/>
    </xf>
    <xf numFmtId="10" fontId="2" fillId="2" borderId="0" xfId="1" applyNumberFormat="1" applyFont="1" applyFill="1" applyBorder="1" applyAlignment="1">
      <alignment horizontal="right" vertical="center"/>
    </xf>
    <xf numFmtId="164" fontId="9" fillId="3" borderId="0" xfId="1" applyFont="1" applyFill="1" applyBorder="1" applyAlignment="1">
      <alignment horizontal="right" vertical="center"/>
    </xf>
    <xf numFmtId="164" fontId="2" fillId="7" borderId="61" xfId="1" applyFont="1" applyFill="1" applyBorder="1" applyAlignment="1">
      <alignment horizontal="right" vertical="center"/>
    </xf>
    <xf numFmtId="39" fontId="3" fillId="9" borderId="39" xfId="1" applyNumberFormat="1" applyFont="1" applyFill="1" applyBorder="1" applyAlignment="1">
      <alignment vertical="center"/>
    </xf>
    <xf numFmtId="164" fontId="3" fillId="9" borderId="39" xfId="1" applyFont="1" applyFill="1" applyBorder="1" applyAlignment="1">
      <alignment vertical="center"/>
    </xf>
    <xf numFmtId="39" fontId="3" fillId="9" borderId="14" xfId="1" applyNumberFormat="1" applyFont="1" applyFill="1" applyBorder="1" applyAlignment="1">
      <alignment vertical="center"/>
    </xf>
    <xf numFmtId="164" fontId="3" fillId="9" borderId="14" xfId="1" applyFont="1" applyFill="1" applyBorder="1" applyAlignment="1">
      <alignment vertical="center"/>
    </xf>
    <xf numFmtId="39" fontId="3" fillId="9" borderId="46" xfId="1" applyNumberFormat="1" applyFont="1" applyFill="1" applyBorder="1" applyAlignment="1">
      <alignment vertical="center"/>
    </xf>
    <xf numFmtId="164" fontId="3" fillId="9" borderId="46" xfId="1" applyFont="1" applyFill="1" applyBorder="1" applyAlignment="1">
      <alignment vertical="center"/>
    </xf>
    <xf numFmtId="164" fontId="3" fillId="9" borderId="28" xfId="1" applyFont="1" applyFill="1" applyBorder="1" applyAlignment="1">
      <alignment vertical="center"/>
    </xf>
    <xf numFmtId="3" fontId="3" fillId="10" borderId="9" xfId="1" applyNumberFormat="1" applyFont="1" applyFill="1" applyBorder="1" applyAlignment="1">
      <alignment horizontal="right" vertical="center"/>
    </xf>
    <xf numFmtId="3" fontId="3" fillId="10" borderId="10" xfId="1" applyNumberFormat="1" applyFont="1" applyFill="1" applyBorder="1" applyAlignment="1">
      <alignment horizontal="right" vertical="center"/>
    </xf>
    <xf numFmtId="3" fontId="3" fillId="10" borderId="13" xfId="1" applyNumberFormat="1" applyFont="1" applyFill="1" applyBorder="1" applyAlignment="1">
      <alignment horizontal="right" vertical="center"/>
    </xf>
    <xf numFmtId="3" fontId="3" fillId="10" borderId="14" xfId="1" applyNumberFormat="1" applyFont="1" applyFill="1" applyBorder="1" applyAlignment="1">
      <alignment horizontal="right" vertical="center"/>
    </xf>
    <xf numFmtId="3" fontId="3" fillId="10" borderId="14" xfId="0" applyNumberFormat="1" applyFont="1" applyFill="1" applyBorder="1" applyAlignment="1">
      <alignment horizontal="right" vertical="center"/>
    </xf>
    <xf numFmtId="3" fontId="3" fillId="10" borderId="45" xfId="0" applyNumberFormat="1" applyFont="1" applyFill="1" applyBorder="1" applyAlignment="1">
      <alignment horizontal="right" vertical="center"/>
    </xf>
    <xf numFmtId="3" fontId="3" fillId="10" borderId="46" xfId="0" applyNumberFormat="1" applyFont="1" applyFill="1" applyBorder="1" applyAlignment="1">
      <alignment horizontal="right" vertical="center"/>
    </xf>
    <xf numFmtId="0" fontId="20" fillId="0" borderId="0" xfId="0" applyFont="1"/>
    <xf numFmtId="0" fontId="19" fillId="0" borderId="0" xfId="0" applyFont="1" applyAlignment="1">
      <alignment horizontal="center" vertical="center" wrapText="1"/>
    </xf>
    <xf numFmtId="0" fontId="19" fillId="0" borderId="0" xfId="0" applyFont="1" applyFill="1" applyAlignment="1">
      <alignment horizontal="center" vertical="center" wrapText="1"/>
    </xf>
    <xf numFmtId="0" fontId="19" fillId="0" borderId="28" xfId="0" applyFont="1" applyFill="1" applyBorder="1" applyAlignment="1">
      <alignment horizontal="center" vertical="center" wrapText="1"/>
    </xf>
    <xf numFmtId="0" fontId="19" fillId="0" borderId="41" xfId="0" applyFont="1" applyBorder="1" applyAlignment="1">
      <alignment horizontal="left" vertical="center" wrapText="1" indent="1"/>
    </xf>
    <xf numFmtId="0" fontId="19" fillId="12" borderId="5" xfId="0" applyFont="1" applyFill="1" applyBorder="1" applyAlignment="1">
      <alignment horizontal="center" vertical="center" wrapText="1"/>
    </xf>
    <xf numFmtId="0" fontId="19" fillId="12" borderId="68" xfId="0" applyFont="1" applyFill="1" applyBorder="1" applyAlignment="1">
      <alignment horizontal="center" vertical="center" wrapText="1"/>
    </xf>
    <xf numFmtId="0" fontId="19" fillId="12" borderId="6" xfId="0" applyFont="1" applyFill="1" applyBorder="1" applyAlignment="1">
      <alignment horizontal="center" vertical="center" wrapText="1"/>
    </xf>
    <xf numFmtId="0" fontId="19" fillId="12" borderId="25" xfId="0" applyFont="1" applyFill="1" applyBorder="1" applyAlignment="1">
      <alignment horizontal="center" vertical="center" wrapText="1"/>
    </xf>
    <xf numFmtId="0" fontId="19" fillId="12" borderId="63" xfId="0" applyFont="1" applyFill="1" applyBorder="1" applyAlignment="1">
      <alignment horizontal="center" vertical="center" wrapText="1"/>
    </xf>
    <xf numFmtId="0" fontId="19" fillId="12" borderId="28" xfId="0" applyFont="1" applyFill="1" applyBorder="1" applyAlignment="1">
      <alignment horizontal="center" vertical="center" wrapText="1"/>
    </xf>
    <xf numFmtId="0" fontId="19" fillId="12" borderId="33" xfId="0" applyFont="1" applyFill="1" applyBorder="1" applyAlignment="1">
      <alignment horizontal="center" vertical="center" wrapText="1"/>
    </xf>
    <xf numFmtId="0" fontId="21" fillId="0" borderId="0" xfId="0" applyFont="1"/>
    <xf numFmtId="0" fontId="20" fillId="0" borderId="8" xfId="0" applyFont="1" applyFill="1" applyBorder="1" applyAlignment="1">
      <alignment horizontal="left" vertical="center" wrapText="1" indent="1"/>
    </xf>
    <xf numFmtId="165" fontId="20" fillId="0" borderId="22" xfId="0" applyNumberFormat="1" applyFont="1" applyBorder="1" applyAlignment="1">
      <alignment vertical="center" wrapText="1"/>
    </xf>
    <xf numFmtId="165" fontId="20" fillId="0" borderId="61" xfId="0" applyNumberFormat="1" applyFont="1" applyFill="1" applyBorder="1" applyAlignment="1">
      <alignment vertical="center" wrapText="1"/>
    </xf>
    <xf numFmtId="165" fontId="20" fillId="0" borderId="69" xfId="0" applyNumberFormat="1" applyFont="1" applyFill="1" applyBorder="1" applyAlignment="1">
      <alignment vertical="center" wrapText="1"/>
    </xf>
    <xf numFmtId="165" fontId="20" fillId="0" borderId="11" xfId="0" applyNumberFormat="1" applyFont="1" applyFill="1" applyBorder="1" applyAlignment="1">
      <alignment vertical="center" wrapText="1"/>
    </xf>
    <xf numFmtId="165" fontId="20" fillId="0" borderId="70" xfId="0" applyNumberFormat="1" applyFont="1" applyFill="1" applyBorder="1" applyAlignment="1">
      <alignment vertical="center" wrapText="1"/>
    </xf>
    <xf numFmtId="165" fontId="20" fillId="0" borderId="52" xfId="0" applyNumberFormat="1" applyFont="1" applyBorder="1" applyAlignment="1">
      <alignment vertical="center" wrapText="1"/>
    </xf>
    <xf numFmtId="0" fontId="20" fillId="0" borderId="12" xfId="0" applyFont="1" applyFill="1" applyBorder="1" applyAlignment="1">
      <alignment horizontal="left" vertical="center" wrapText="1" indent="1"/>
    </xf>
    <xf numFmtId="5" fontId="20" fillId="0" borderId="14" xfId="0" applyNumberFormat="1" applyFont="1" applyBorder="1" applyAlignment="1">
      <alignment vertical="center" wrapText="1"/>
    </xf>
    <xf numFmtId="165" fontId="20" fillId="0" borderId="14" xfId="0" applyNumberFormat="1" applyFont="1" applyBorder="1" applyAlignment="1">
      <alignment vertical="center" wrapText="1"/>
    </xf>
    <xf numFmtId="165" fontId="20" fillId="0" borderId="56" xfId="0" applyNumberFormat="1" applyFont="1" applyFill="1" applyBorder="1" applyAlignment="1">
      <alignment vertical="center" wrapText="1"/>
    </xf>
    <xf numFmtId="165" fontId="20" fillId="0" borderId="23" xfId="0" applyNumberFormat="1" applyFont="1" applyFill="1" applyBorder="1" applyAlignment="1">
      <alignment vertical="center" wrapText="1"/>
    </xf>
    <xf numFmtId="0" fontId="20" fillId="0" borderId="17" xfId="0" applyFont="1" applyFill="1" applyBorder="1" applyAlignment="1">
      <alignment horizontal="left" vertical="center" wrapText="1" indent="1"/>
    </xf>
    <xf numFmtId="165" fontId="20" fillId="0" borderId="24" xfId="0" applyNumberFormat="1" applyFont="1" applyBorder="1" applyAlignment="1">
      <alignment vertical="center" wrapText="1"/>
    </xf>
    <xf numFmtId="165" fontId="19" fillId="0" borderId="24" xfId="0" applyNumberFormat="1" applyFont="1" applyBorder="1" applyAlignment="1">
      <alignment vertical="center" wrapText="1"/>
    </xf>
    <xf numFmtId="165" fontId="20" fillId="0" borderId="59" xfId="0" applyNumberFormat="1" applyFont="1" applyFill="1" applyBorder="1" applyAlignment="1">
      <alignment vertical="center" wrapText="1"/>
    </xf>
    <xf numFmtId="165" fontId="20" fillId="0" borderId="53" xfId="0" applyNumberFormat="1" applyFont="1" applyFill="1" applyBorder="1" applyAlignment="1">
      <alignment vertical="center" wrapText="1"/>
    </xf>
    <xf numFmtId="165" fontId="20" fillId="0" borderId="47" xfId="0" applyNumberFormat="1" applyFont="1" applyFill="1" applyBorder="1" applyAlignment="1">
      <alignment vertical="center" wrapText="1"/>
    </xf>
    <xf numFmtId="165" fontId="20" fillId="0" borderId="71" xfId="0" applyNumberFormat="1" applyFont="1" applyFill="1" applyBorder="1" applyAlignment="1">
      <alignment vertical="center" wrapText="1"/>
    </xf>
    <xf numFmtId="0" fontId="19" fillId="0" borderId="64" xfId="0" applyFont="1" applyFill="1" applyBorder="1" applyAlignment="1">
      <alignment horizontal="left" vertical="center" wrapText="1" indent="1"/>
    </xf>
    <xf numFmtId="165" fontId="19" fillId="3" borderId="64" xfId="0" applyNumberFormat="1" applyFont="1" applyFill="1" applyBorder="1" applyAlignment="1">
      <alignment vertical="center" wrapText="1"/>
    </xf>
    <xf numFmtId="165" fontId="19" fillId="13" borderId="64" xfId="0" applyNumberFormat="1" applyFont="1" applyFill="1" applyBorder="1" applyAlignment="1">
      <alignment vertical="center" wrapText="1"/>
    </xf>
    <xf numFmtId="0" fontId="19" fillId="0" borderId="28" xfId="0" applyFont="1" applyFill="1" applyBorder="1" applyAlignment="1">
      <alignment horizontal="left" vertical="center" wrapText="1" indent="1"/>
    </xf>
    <xf numFmtId="165" fontId="19" fillId="3" borderId="68" xfId="0" applyNumberFormat="1" applyFont="1" applyFill="1" applyBorder="1" applyAlignment="1">
      <alignment vertical="center" wrapText="1"/>
    </xf>
    <xf numFmtId="165" fontId="19" fillId="3" borderId="6" xfId="0" applyNumberFormat="1" applyFont="1" applyFill="1" applyBorder="1" applyAlignment="1">
      <alignment vertical="center" wrapText="1"/>
    </xf>
    <xf numFmtId="165" fontId="19" fillId="13" borderId="25" xfId="0" applyNumberFormat="1" applyFont="1" applyFill="1" applyBorder="1" applyAlignment="1">
      <alignment vertical="center" wrapText="1"/>
    </xf>
    <xf numFmtId="165" fontId="19" fillId="12" borderId="5" xfId="0" applyNumberFormat="1" applyFont="1" applyFill="1" applyBorder="1" applyAlignment="1">
      <alignment vertical="center" wrapText="1"/>
    </xf>
    <xf numFmtId="165" fontId="19" fillId="12" borderId="6" xfId="0" applyNumberFormat="1" applyFont="1" applyFill="1" applyBorder="1" applyAlignment="1">
      <alignment vertical="center" wrapText="1"/>
    </xf>
    <xf numFmtId="165" fontId="19" fillId="3" borderId="7" xfId="0" applyNumberFormat="1" applyFont="1" applyFill="1" applyBorder="1" applyAlignment="1">
      <alignment vertical="center" wrapText="1"/>
    </xf>
    <xf numFmtId="0" fontId="20" fillId="0" borderId="20" xfId="0" applyFont="1" applyFill="1" applyBorder="1" applyAlignment="1">
      <alignment horizontal="left" vertical="center" wrapText="1" indent="1"/>
    </xf>
    <xf numFmtId="5" fontId="20" fillId="0" borderId="9" xfId="0" applyNumberFormat="1" applyFont="1" applyBorder="1" applyAlignment="1">
      <alignment vertical="center" wrapText="1"/>
    </xf>
    <xf numFmtId="5" fontId="20" fillId="0" borderId="10" xfId="0" applyNumberFormat="1" applyFont="1" applyBorder="1" applyAlignment="1">
      <alignment vertical="center" wrapText="1"/>
    </xf>
    <xf numFmtId="5" fontId="20" fillId="0" borderId="22" xfId="0" applyNumberFormat="1" applyFont="1" applyBorder="1" applyAlignment="1">
      <alignment vertical="center" wrapText="1"/>
    </xf>
    <xf numFmtId="165" fontId="20" fillId="0" borderId="56" xfId="0" applyNumberFormat="1" applyFont="1" applyBorder="1" applyAlignment="1">
      <alignment vertical="center" wrapText="1"/>
    </xf>
    <xf numFmtId="165" fontId="20" fillId="0" borderId="22" xfId="0" applyNumberFormat="1" applyFont="1" applyFill="1" applyBorder="1" applyAlignment="1">
      <alignment vertical="center" wrapText="1"/>
    </xf>
    <xf numFmtId="5" fontId="20" fillId="0" borderId="13" xfId="0" applyNumberFormat="1" applyFont="1" applyBorder="1" applyAlignment="1">
      <alignment vertical="center" wrapText="1"/>
    </xf>
    <xf numFmtId="165" fontId="20" fillId="0" borderId="55" xfId="0" applyNumberFormat="1" applyFont="1" applyBorder="1" applyAlignment="1">
      <alignment vertical="center" wrapText="1"/>
    </xf>
    <xf numFmtId="165" fontId="20" fillId="0" borderId="14" xfId="0" applyNumberFormat="1" applyFont="1" applyFill="1" applyBorder="1" applyAlignment="1">
      <alignment vertical="center" wrapText="1"/>
    </xf>
    <xf numFmtId="165" fontId="22" fillId="0" borderId="14" xfId="0" applyNumberFormat="1" applyFont="1" applyBorder="1" applyAlignment="1">
      <alignment vertical="center" wrapText="1"/>
    </xf>
    <xf numFmtId="165" fontId="20" fillId="0" borderId="13" xfId="0" applyNumberFormat="1" applyFont="1" applyBorder="1" applyAlignment="1">
      <alignment vertical="center" wrapText="1"/>
    </xf>
    <xf numFmtId="165" fontId="19" fillId="0" borderId="14" xfId="0" applyNumberFormat="1" applyFont="1" applyBorder="1" applyAlignment="1">
      <alignment vertical="center" wrapText="1"/>
    </xf>
    <xf numFmtId="165" fontId="20" fillId="0" borderId="45" xfId="0" applyNumberFormat="1" applyFont="1" applyBorder="1" applyAlignment="1">
      <alignment vertical="center" wrapText="1"/>
    </xf>
    <xf numFmtId="165" fontId="20" fillId="0" borderId="46" xfId="0" applyNumberFormat="1" applyFont="1" applyBorder="1" applyAlignment="1">
      <alignment vertical="center" wrapText="1"/>
    </xf>
    <xf numFmtId="165" fontId="20" fillId="0" borderId="53" xfId="0" applyNumberFormat="1" applyFont="1" applyBorder="1" applyAlignment="1">
      <alignment vertical="center" wrapText="1"/>
    </xf>
    <xf numFmtId="165" fontId="20" fillId="0" borderId="46" xfId="0" applyNumberFormat="1" applyFont="1" applyFill="1" applyBorder="1" applyAlignment="1">
      <alignment vertical="center" wrapText="1"/>
    </xf>
    <xf numFmtId="165" fontId="20" fillId="0" borderId="73" xfId="0" applyNumberFormat="1" applyFont="1" applyFill="1" applyBorder="1" applyAlignment="1">
      <alignment vertical="center" wrapText="1"/>
    </xf>
    <xf numFmtId="165" fontId="20" fillId="0" borderId="65" xfId="0" applyNumberFormat="1" applyFont="1" applyBorder="1" applyAlignment="1">
      <alignment vertical="center" wrapText="1"/>
    </xf>
    <xf numFmtId="0" fontId="19" fillId="0" borderId="64" xfId="0" applyFont="1" applyBorder="1" applyAlignment="1">
      <alignment horizontal="left" vertical="center" wrapText="1" indent="1"/>
    </xf>
    <xf numFmtId="165" fontId="19" fillId="3" borderId="74" xfId="0" applyNumberFormat="1" applyFont="1" applyFill="1" applyBorder="1" applyAlignment="1">
      <alignment vertical="center" wrapText="1"/>
    </xf>
    <xf numFmtId="165" fontId="19" fillId="13" borderId="74" xfId="0" applyNumberFormat="1" applyFont="1" applyFill="1" applyBorder="1" applyAlignment="1">
      <alignment vertical="center" wrapText="1"/>
    </xf>
    <xf numFmtId="165" fontId="19" fillId="13" borderId="41" xfId="0" applyNumberFormat="1" applyFont="1" applyFill="1" applyBorder="1" applyAlignment="1">
      <alignment vertical="center" wrapText="1"/>
    </xf>
    <xf numFmtId="165" fontId="19" fillId="3" borderId="65" xfId="0" applyNumberFormat="1" applyFont="1" applyFill="1" applyBorder="1" applyAlignment="1">
      <alignment vertical="center" wrapText="1"/>
    </xf>
    <xf numFmtId="0" fontId="19" fillId="0" borderId="55" xfId="0" applyFont="1" applyBorder="1" applyAlignment="1">
      <alignment horizontal="left" vertical="center" wrapText="1" indent="1"/>
    </xf>
    <xf numFmtId="165" fontId="19" fillId="3" borderId="5" xfId="0" applyNumberFormat="1" applyFont="1" applyFill="1" applyBorder="1" applyAlignment="1">
      <alignment vertical="center" wrapText="1"/>
    </xf>
    <xf numFmtId="5" fontId="20" fillId="0" borderId="21" xfId="0" applyNumberFormat="1" applyFont="1" applyBorder="1" applyAlignment="1">
      <alignment vertical="center" wrapText="1"/>
    </xf>
    <xf numFmtId="165" fontId="20" fillId="0" borderId="55" xfId="0" applyNumberFormat="1" applyFont="1" applyFill="1" applyBorder="1" applyAlignment="1">
      <alignment vertical="center" wrapText="1"/>
    </xf>
    <xf numFmtId="5" fontId="20" fillId="0" borderId="18" xfId="0" applyNumberFormat="1" applyFont="1" applyBorder="1" applyAlignment="1">
      <alignment vertical="center" wrapText="1"/>
    </xf>
    <xf numFmtId="5" fontId="20" fillId="0" borderId="24" xfId="0" applyNumberFormat="1" applyFont="1" applyBorder="1" applyAlignment="1">
      <alignment vertical="center" wrapText="1"/>
    </xf>
    <xf numFmtId="165" fontId="20" fillId="0" borderId="58" xfId="0" applyNumberFormat="1" applyFont="1" applyBorder="1" applyAlignment="1">
      <alignment vertical="center" wrapText="1"/>
    </xf>
    <xf numFmtId="165" fontId="20" fillId="0" borderId="44" xfId="0" applyNumberFormat="1" applyFont="1" applyFill="1" applyBorder="1" applyAlignment="1">
      <alignment vertical="center" wrapText="1"/>
    </xf>
    <xf numFmtId="165" fontId="20" fillId="0" borderId="0" xfId="0" applyNumberFormat="1" applyFont="1" applyFill="1" applyBorder="1" applyAlignment="1">
      <alignment vertical="center" wrapText="1"/>
    </xf>
    <xf numFmtId="165" fontId="20" fillId="0" borderId="58" xfId="0" applyNumberFormat="1" applyFont="1" applyFill="1" applyBorder="1" applyAlignment="1">
      <alignment vertical="center" wrapText="1"/>
    </xf>
    <xf numFmtId="165" fontId="20" fillId="0" borderId="75" xfId="0" applyNumberFormat="1" applyFont="1" applyFill="1" applyBorder="1" applyAlignment="1">
      <alignment vertical="center" wrapText="1"/>
    </xf>
    <xf numFmtId="165" fontId="20" fillId="0" borderId="31" xfId="0" applyNumberFormat="1" applyFont="1" applyFill="1" applyBorder="1" applyAlignment="1">
      <alignment vertical="center" wrapText="1"/>
    </xf>
    <xf numFmtId="0" fontId="20" fillId="0" borderId="54" xfId="0" applyFont="1" applyFill="1" applyBorder="1" applyAlignment="1">
      <alignment horizontal="left" vertical="center" wrapText="1" indent="1"/>
    </xf>
    <xf numFmtId="165" fontId="19" fillId="13" borderId="0" xfId="0" applyNumberFormat="1" applyFont="1" applyFill="1" applyBorder="1" applyAlignment="1">
      <alignment vertical="center" wrapText="1"/>
    </xf>
    <xf numFmtId="0" fontId="19" fillId="0" borderId="5" xfId="0" applyFont="1" applyBorder="1" applyAlignment="1">
      <alignment horizontal="left" vertical="center" wrapText="1" indent="1"/>
    </xf>
    <xf numFmtId="0" fontId="20" fillId="0" borderId="20" xfId="0" applyFont="1" applyBorder="1" applyAlignment="1">
      <alignment horizontal="left" vertical="center" wrapText="1" indent="1"/>
    </xf>
    <xf numFmtId="165" fontId="20" fillId="0" borderId="21" xfId="0" applyNumberFormat="1" applyFont="1" applyBorder="1" applyAlignment="1">
      <alignment vertical="center" wrapText="1"/>
    </xf>
    <xf numFmtId="165" fontId="20" fillId="0" borderId="57" xfId="0" applyNumberFormat="1" applyFont="1" applyBorder="1" applyAlignment="1">
      <alignment vertical="center" wrapText="1"/>
    </xf>
    <xf numFmtId="0" fontId="20" fillId="0" borderId="12" xfId="0" applyFont="1" applyBorder="1" applyAlignment="1">
      <alignment horizontal="left" vertical="center" wrapText="1" indent="1"/>
    </xf>
    <xf numFmtId="165" fontId="20" fillId="0" borderId="76" xfId="0" applyNumberFormat="1" applyFont="1" applyBorder="1" applyAlignment="1">
      <alignment vertical="center" wrapText="1"/>
    </xf>
    <xf numFmtId="165" fontId="20" fillId="0" borderId="60" xfId="0" applyNumberFormat="1" applyFont="1" applyFill="1" applyBorder="1" applyAlignment="1">
      <alignment vertical="center" wrapText="1"/>
    </xf>
    <xf numFmtId="165" fontId="20" fillId="0" borderId="2" xfId="0" applyNumberFormat="1" applyFont="1" applyFill="1" applyBorder="1" applyAlignment="1">
      <alignment vertical="center" wrapText="1"/>
    </xf>
    <xf numFmtId="165" fontId="20" fillId="0" borderId="4" xfId="0" applyNumberFormat="1" applyFont="1" applyFill="1" applyBorder="1" applyAlignment="1">
      <alignment vertical="center" wrapText="1"/>
    </xf>
    <xf numFmtId="0" fontId="19" fillId="0" borderId="12" xfId="0" applyFont="1" applyBorder="1" applyAlignment="1">
      <alignment horizontal="left" vertical="center" wrapText="1" indent="1"/>
    </xf>
    <xf numFmtId="165" fontId="19" fillId="3" borderId="29" xfId="0" applyNumberFormat="1" applyFont="1" applyFill="1" applyBorder="1" applyAlignment="1">
      <alignment vertical="center" wrapText="1"/>
    </xf>
    <xf numFmtId="165" fontId="19" fillId="3" borderId="3" xfId="0" applyNumberFormat="1" applyFont="1" applyFill="1" applyBorder="1" applyAlignment="1">
      <alignment vertical="center" wrapText="1"/>
    </xf>
    <xf numFmtId="165" fontId="19" fillId="13" borderId="28" xfId="0" applyNumberFormat="1" applyFont="1" applyFill="1" applyBorder="1" applyAlignment="1">
      <alignment vertical="center" wrapText="1"/>
    </xf>
    <xf numFmtId="165" fontId="19" fillId="3" borderId="28" xfId="0" applyNumberFormat="1" applyFont="1" applyFill="1" applyBorder="1" applyAlignment="1">
      <alignment vertical="center" wrapText="1"/>
    </xf>
    <xf numFmtId="165" fontId="19" fillId="2" borderId="45" xfId="0" applyNumberFormat="1" applyFont="1" applyFill="1" applyBorder="1" applyAlignment="1">
      <alignment vertical="center" wrapText="1"/>
    </xf>
    <xf numFmtId="165" fontId="19" fillId="2" borderId="54" xfId="0" applyNumberFormat="1" applyFont="1" applyFill="1" applyBorder="1" applyAlignment="1">
      <alignment vertical="center" wrapText="1"/>
    </xf>
    <xf numFmtId="165" fontId="19" fillId="2" borderId="28" xfId="0" applyNumberFormat="1" applyFont="1" applyFill="1" applyBorder="1" applyAlignment="1">
      <alignment vertical="center" wrapText="1"/>
    </xf>
    <xf numFmtId="165" fontId="19" fillId="12" borderId="28" xfId="0" applyNumberFormat="1" applyFont="1" applyFill="1" applyBorder="1" applyAlignment="1">
      <alignment vertical="center" wrapText="1"/>
    </xf>
    <xf numFmtId="165" fontId="19" fillId="12" borderId="33" xfId="0" applyNumberFormat="1" applyFont="1" applyFill="1" applyBorder="1" applyAlignment="1">
      <alignment vertical="center" wrapText="1"/>
    </xf>
    <xf numFmtId="165" fontId="19" fillId="2" borderId="48" xfId="0" applyNumberFormat="1" applyFont="1" applyFill="1" applyBorder="1" applyAlignment="1">
      <alignment vertical="center" wrapText="1"/>
    </xf>
    <xf numFmtId="0" fontId="19" fillId="0" borderId="0" xfId="0" applyFont="1" applyFill="1" applyBorder="1" applyAlignment="1">
      <alignment horizontal="left" vertical="center" wrapText="1" indent="1"/>
    </xf>
    <xf numFmtId="165" fontId="19" fillId="0" borderId="0" xfId="0" applyNumberFormat="1" applyFont="1" applyFill="1" applyBorder="1" applyAlignment="1">
      <alignment vertical="center" wrapText="1"/>
    </xf>
    <xf numFmtId="0" fontId="20" fillId="0" borderId="0" xfId="0" applyFont="1" applyFill="1"/>
    <xf numFmtId="165" fontId="19" fillId="0" borderId="0" xfId="0" applyNumberFormat="1" applyFont="1" applyFill="1" applyBorder="1" applyAlignment="1">
      <alignment horizontal="center" vertical="center" wrapText="1"/>
    </xf>
    <xf numFmtId="1" fontId="19" fillId="0" borderId="0" xfId="3" applyNumberFormat="1" applyFont="1" applyFill="1" applyBorder="1" applyAlignment="1">
      <alignment horizontal="center" vertical="center" wrapText="1"/>
    </xf>
    <xf numFmtId="1" fontId="20" fillId="0" borderId="0" xfId="3" applyNumberFormat="1" applyFont="1" applyFill="1" applyAlignment="1">
      <alignment horizontal="center"/>
    </xf>
    <xf numFmtId="1" fontId="19" fillId="12" borderId="28" xfId="3" applyNumberFormat="1" applyFont="1" applyFill="1" applyBorder="1" applyAlignment="1">
      <alignment horizontal="center" vertical="center" wrapText="1"/>
    </xf>
    <xf numFmtId="165" fontId="20" fillId="0" borderId="21" xfId="4" applyNumberFormat="1" applyFont="1" applyFill="1" applyBorder="1" applyAlignment="1">
      <alignment horizontal="right" vertical="center" wrapText="1" indent="1"/>
    </xf>
    <xf numFmtId="165" fontId="20" fillId="12" borderId="23" xfId="4" applyNumberFormat="1" applyFont="1" applyFill="1" applyBorder="1" applyAlignment="1">
      <alignment horizontal="right" vertical="center" indent="1"/>
    </xf>
    <xf numFmtId="165" fontId="20" fillId="0" borderId="57" xfId="0" applyNumberFormat="1" applyFont="1" applyFill="1" applyBorder="1" applyAlignment="1">
      <alignment horizontal="right" vertical="center" wrapText="1" indent="1"/>
    </xf>
    <xf numFmtId="165" fontId="20" fillId="12" borderId="11" xfId="0" applyNumberFormat="1" applyFont="1" applyFill="1" applyBorder="1" applyAlignment="1">
      <alignment horizontal="right" vertical="center" wrapText="1" indent="1"/>
    </xf>
    <xf numFmtId="165" fontId="20" fillId="0" borderId="9" xfId="0" applyNumberFormat="1" applyFont="1" applyFill="1" applyBorder="1" applyAlignment="1">
      <alignment horizontal="right" vertical="center" wrapText="1" indent="1"/>
    </xf>
    <xf numFmtId="165" fontId="20" fillId="0" borderId="77" xfId="0" applyNumberFormat="1" applyFont="1" applyFill="1" applyBorder="1" applyAlignment="1">
      <alignment horizontal="right" vertical="center" wrapText="1" indent="1"/>
    </xf>
    <xf numFmtId="165" fontId="20" fillId="0" borderId="0" xfId="0" applyNumberFormat="1" applyFont="1" applyFill="1" applyBorder="1" applyAlignment="1">
      <alignment horizontal="left" vertical="center" wrapText="1"/>
    </xf>
    <xf numFmtId="165" fontId="20" fillId="0" borderId="13" xfId="4" applyNumberFormat="1" applyFont="1" applyFill="1" applyBorder="1" applyAlignment="1">
      <alignment horizontal="right" vertical="center" wrapText="1" indent="1"/>
    </xf>
    <xf numFmtId="165" fontId="20" fillId="12" borderId="15" xfId="4" applyNumberFormat="1" applyFont="1" applyFill="1" applyBorder="1" applyAlignment="1">
      <alignment horizontal="right" vertical="center" indent="1"/>
    </xf>
    <xf numFmtId="165" fontId="20" fillId="0" borderId="16" xfId="0" applyNumberFormat="1" applyFont="1" applyFill="1" applyBorder="1" applyAlignment="1">
      <alignment horizontal="right" vertical="center" wrapText="1" indent="1"/>
    </xf>
    <xf numFmtId="165" fontId="20" fillId="12" borderId="15" xfId="0" applyNumberFormat="1" applyFont="1" applyFill="1" applyBorder="1" applyAlignment="1">
      <alignment horizontal="right" vertical="center" wrapText="1" indent="1"/>
    </xf>
    <xf numFmtId="165" fontId="20" fillId="0" borderId="13" xfId="0" applyNumberFormat="1" applyFont="1" applyFill="1" applyBorder="1" applyAlignment="1">
      <alignment horizontal="right" vertical="center" wrapText="1" indent="1"/>
    </xf>
    <xf numFmtId="165" fontId="20" fillId="0" borderId="45" xfId="4" applyNumberFormat="1" applyFont="1" applyFill="1" applyBorder="1" applyAlignment="1">
      <alignment horizontal="right" vertical="center" wrapText="1" indent="1"/>
    </xf>
    <xf numFmtId="165" fontId="20" fillId="12" borderId="47" xfId="4" applyNumberFormat="1" applyFont="1" applyFill="1" applyBorder="1" applyAlignment="1">
      <alignment horizontal="right" vertical="center" indent="1"/>
    </xf>
    <xf numFmtId="165" fontId="20" fillId="0" borderId="76" xfId="0" applyNumberFormat="1" applyFont="1" applyFill="1" applyBorder="1" applyAlignment="1">
      <alignment horizontal="right" vertical="center" wrapText="1" indent="1"/>
    </xf>
    <xf numFmtId="165" fontId="20" fillId="12" borderId="47" xfId="0" applyNumberFormat="1" applyFont="1" applyFill="1" applyBorder="1" applyAlignment="1">
      <alignment horizontal="right" vertical="center" wrapText="1" indent="1"/>
    </xf>
    <xf numFmtId="165" fontId="20" fillId="0" borderId="45" xfId="0" applyNumberFormat="1" applyFont="1" applyFill="1" applyBorder="1" applyAlignment="1">
      <alignment horizontal="right" vertical="center" wrapText="1" indent="1"/>
    </xf>
    <xf numFmtId="165" fontId="20" fillId="0" borderId="0" xfId="0" applyNumberFormat="1" applyFont="1" applyFill="1" applyBorder="1" applyAlignment="1">
      <alignment horizontal="right" vertical="center" wrapText="1" indent="1"/>
    </xf>
    <xf numFmtId="165" fontId="20" fillId="12" borderId="0" xfId="0" applyNumberFormat="1" applyFont="1" applyFill="1" applyBorder="1" applyAlignment="1">
      <alignment horizontal="right" vertical="center" wrapText="1" indent="1"/>
    </xf>
    <xf numFmtId="0" fontId="20" fillId="0" borderId="0" xfId="0" applyFont="1" applyFill="1" applyAlignment="1">
      <alignment horizontal="left" vertical="center" wrapText="1" indent="1"/>
    </xf>
    <xf numFmtId="165" fontId="20" fillId="0" borderId="0" xfId="0" applyNumberFormat="1" applyFont="1" applyFill="1" applyAlignment="1">
      <alignment horizontal="left" vertical="center" wrapText="1"/>
    </xf>
    <xf numFmtId="0" fontId="20" fillId="0" borderId="0" xfId="0" applyFont="1" applyAlignment="1">
      <alignment horizontal="left" vertical="center" wrapText="1" indent="1"/>
    </xf>
    <xf numFmtId="165" fontId="20" fillId="0" borderId="0" xfId="0" applyNumberFormat="1" applyFont="1" applyAlignment="1">
      <alignment vertical="center" wrapText="1"/>
    </xf>
    <xf numFmtId="165" fontId="20" fillId="0" borderId="0" xfId="0" applyNumberFormat="1" applyFont="1" applyFill="1" applyAlignment="1">
      <alignment vertical="center" wrapText="1"/>
    </xf>
    <xf numFmtId="165" fontId="20" fillId="14" borderId="55" xfId="0" applyNumberFormat="1" applyFont="1" applyFill="1" applyBorder="1" applyAlignment="1">
      <alignment vertical="center" wrapText="1"/>
    </xf>
    <xf numFmtId="0" fontId="20" fillId="14" borderId="78" xfId="0" applyFont="1" applyFill="1" applyBorder="1" applyAlignment="1">
      <alignment vertical="center" wrapText="1"/>
    </xf>
    <xf numFmtId="165" fontId="20" fillId="14" borderId="78" xfId="0" applyNumberFormat="1" applyFont="1" applyFill="1" applyBorder="1" applyAlignment="1">
      <alignment vertical="center" wrapText="1"/>
    </xf>
    <xf numFmtId="165" fontId="20" fillId="0" borderId="78" xfId="0" applyNumberFormat="1" applyFont="1" applyFill="1" applyBorder="1" applyAlignment="1">
      <alignment vertical="center" wrapText="1"/>
    </xf>
    <xf numFmtId="0" fontId="20" fillId="14" borderId="16" xfId="0" applyFont="1" applyFill="1" applyBorder="1" applyAlignment="1">
      <alignment vertical="center" wrapText="1"/>
    </xf>
    <xf numFmtId="165" fontId="20" fillId="14" borderId="14" xfId="0" applyNumberFormat="1" applyFont="1" applyFill="1" applyBorder="1" applyAlignment="1">
      <alignment vertical="center" wrapText="1"/>
    </xf>
    <xf numFmtId="1" fontId="19" fillId="0" borderId="0" xfId="3" applyNumberFormat="1" applyFont="1" applyFill="1" applyBorder="1" applyAlignment="1">
      <alignment vertical="center" wrapText="1"/>
    </xf>
    <xf numFmtId="165" fontId="19" fillId="12" borderId="68" xfId="0" applyNumberFormat="1" applyFont="1" applyFill="1" applyBorder="1" applyAlignment="1">
      <alignment vertical="center" wrapText="1"/>
    </xf>
    <xf numFmtId="165" fontId="20" fillId="0" borderId="52" xfId="0" applyNumberFormat="1" applyFont="1" applyFill="1" applyBorder="1" applyAlignment="1">
      <alignment vertical="center" wrapText="1"/>
    </xf>
    <xf numFmtId="0" fontId="19" fillId="0" borderId="72" xfId="0" applyFont="1" applyFill="1" applyBorder="1" applyAlignment="1">
      <alignment horizontal="center" vertical="center" wrapText="1"/>
    </xf>
    <xf numFmtId="0" fontId="25" fillId="0" borderId="0" xfId="0" applyFont="1" applyAlignment="1">
      <alignment vertical="center"/>
    </xf>
    <xf numFmtId="0" fontId="26" fillId="0" borderId="0" xfId="0" applyFont="1" applyAlignment="1">
      <alignment horizontal="center" vertical="center"/>
    </xf>
    <xf numFmtId="0" fontId="27" fillId="0" borderId="3" xfId="0" applyFont="1" applyBorder="1" applyAlignment="1">
      <alignment horizontal="center" vertical="center" wrapText="1"/>
    </xf>
    <xf numFmtId="0" fontId="27" fillId="0" borderId="2" xfId="0" applyFont="1" applyBorder="1" applyAlignment="1">
      <alignment horizontal="center" vertical="center" wrapText="1"/>
    </xf>
    <xf numFmtId="0" fontId="27" fillId="0" borderId="4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0" fontId="25" fillId="0" borderId="0" xfId="0" applyFont="1" applyAlignment="1">
      <alignment vertical="center" wrapText="1"/>
    </xf>
    <xf numFmtId="0" fontId="29" fillId="0" borderId="8" xfId="0" applyFont="1" applyBorder="1" applyAlignment="1">
      <alignment horizontal="left" vertical="center" wrapText="1" indent="1"/>
    </xf>
    <xf numFmtId="165" fontId="29" fillId="0" borderId="9" xfId="0" applyNumberFormat="1" applyFont="1" applyBorder="1" applyAlignment="1">
      <alignment horizontal="right" vertical="center" wrapText="1"/>
    </xf>
    <xf numFmtId="165" fontId="29" fillId="0" borderId="10" xfId="0" applyNumberFormat="1" applyFont="1" applyBorder="1" applyAlignment="1">
      <alignment horizontal="right" vertical="center" wrapText="1"/>
    </xf>
    <xf numFmtId="165" fontId="29" fillId="0" borderId="11" xfId="0" applyNumberFormat="1" applyFont="1" applyBorder="1" applyAlignment="1">
      <alignment horizontal="right" vertical="center" wrapText="1"/>
    </xf>
    <xf numFmtId="165" fontId="29" fillId="0" borderId="0" xfId="0" applyNumberFormat="1" applyFont="1" applyBorder="1" applyAlignment="1">
      <alignment horizontal="center" vertical="center" wrapText="1"/>
    </xf>
    <xf numFmtId="0" fontId="29" fillId="0" borderId="12" xfId="0" applyFont="1" applyBorder="1" applyAlignment="1">
      <alignment horizontal="left" vertical="center" wrapText="1" indent="1"/>
    </xf>
    <xf numFmtId="165" fontId="29" fillId="0" borderId="13" xfId="0" applyNumberFormat="1" applyFont="1" applyBorder="1" applyAlignment="1">
      <alignment horizontal="right" vertical="center" wrapText="1"/>
    </xf>
    <xf numFmtId="165" fontId="29" fillId="0" borderId="14" xfId="0" applyNumberFormat="1" applyFont="1" applyBorder="1" applyAlignment="1">
      <alignment horizontal="right" vertical="center" wrapText="1"/>
    </xf>
    <xf numFmtId="165" fontId="29" fillId="0" borderId="15" xfId="0" applyNumberFormat="1" applyFont="1" applyBorder="1" applyAlignment="1">
      <alignment horizontal="right" vertical="center" wrapText="1"/>
    </xf>
    <xf numFmtId="165" fontId="29" fillId="0" borderId="16" xfId="0" applyNumberFormat="1" applyFont="1" applyBorder="1" applyAlignment="1">
      <alignment horizontal="right" vertical="center" wrapText="1"/>
    </xf>
    <xf numFmtId="0" fontId="29" fillId="0" borderId="17" xfId="0" applyFont="1" applyBorder="1" applyAlignment="1">
      <alignment horizontal="left" vertical="center" wrapText="1" indent="1"/>
    </xf>
    <xf numFmtId="165" fontId="29" fillId="0" borderId="45" xfId="0" applyNumberFormat="1" applyFont="1" applyBorder="1" applyAlignment="1">
      <alignment horizontal="right" vertical="center" wrapText="1"/>
    </xf>
    <xf numFmtId="165" fontId="30" fillId="0" borderId="27" xfId="0" applyNumberFormat="1" applyFont="1" applyBorder="1" applyAlignment="1">
      <alignment horizontal="right" vertical="center" wrapText="1"/>
    </xf>
    <xf numFmtId="165" fontId="29" fillId="0" borderId="19" xfId="0" applyNumberFormat="1" applyFont="1" applyBorder="1" applyAlignment="1">
      <alignment horizontal="right" vertical="center" wrapText="1"/>
    </xf>
    <xf numFmtId="165" fontId="29" fillId="0" borderId="0" xfId="0" applyNumberFormat="1" applyFont="1" applyFill="1" applyBorder="1" applyAlignment="1">
      <alignment horizontal="center" vertical="center" wrapText="1"/>
    </xf>
    <xf numFmtId="0" fontId="28" fillId="0" borderId="1" xfId="0" applyFont="1" applyBorder="1" applyAlignment="1">
      <alignment horizontal="right" vertical="center" wrapText="1"/>
    </xf>
    <xf numFmtId="165" fontId="28" fillId="3" borderId="5" xfId="0" applyNumberFormat="1" applyFont="1" applyFill="1" applyBorder="1" applyAlignment="1">
      <alignment horizontal="right" vertical="center" wrapText="1"/>
    </xf>
    <xf numFmtId="165" fontId="28" fillId="3" borderId="6" xfId="0" applyNumberFormat="1" applyFont="1" applyFill="1" applyBorder="1" applyAlignment="1">
      <alignment horizontal="right" vertical="center" wrapText="1"/>
    </xf>
    <xf numFmtId="165" fontId="28" fillId="3" borderId="7" xfId="0" applyNumberFormat="1" applyFont="1" applyFill="1" applyBorder="1" applyAlignment="1">
      <alignment horizontal="right" vertical="center" wrapText="1"/>
    </xf>
    <xf numFmtId="165" fontId="28" fillId="0" borderId="0" xfId="0" applyNumberFormat="1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/>
    </xf>
    <xf numFmtId="0" fontId="29" fillId="0" borderId="20" xfId="0" applyFont="1" applyBorder="1" applyAlignment="1">
      <alignment horizontal="left" vertical="center" wrapText="1" indent="1"/>
    </xf>
    <xf numFmtId="165" fontId="31" fillId="0" borderId="14" xfId="0" applyNumberFormat="1" applyFont="1" applyBorder="1" applyAlignment="1">
      <alignment horizontal="right" vertical="center" wrapText="1"/>
    </xf>
    <xf numFmtId="0" fontId="29" fillId="0" borderId="13" xfId="0" applyFont="1" applyBorder="1" applyAlignment="1">
      <alignment vertical="center"/>
    </xf>
    <xf numFmtId="0" fontId="29" fillId="0" borderId="14" xfId="0" applyFont="1" applyBorder="1" applyAlignment="1">
      <alignment vertical="center"/>
    </xf>
    <xf numFmtId="165" fontId="29" fillId="0" borderId="15" xfId="0" applyNumberFormat="1" applyFont="1" applyBorder="1" applyAlignment="1">
      <alignment vertical="center"/>
    </xf>
    <xf numFmtId="165" fontId="29" fillId="0" borderId="0" xfId="0" applyNumberFormat="1" applyFont="1" applyFill="1" applyBorder="1" applyAlignment="1">
      <alignment horizontal="center" vertical="center"/>
    </xf>
    <xf numFmtId="165" fontId="29" fillId="0" borderId="13" xfId="0" applyNumberFormat="1" applyFont="1" applyBorder="1" applyAlignment="1">
      <alignment vertical="center" wrapText="1"/>
    </xf>
    <xf numFmtId="165" fontId="29" fillId="0" borderId="14" xfId="0" applyNumberFormat="1" applyFont="1" applyBorder="1" applyAlignment="1">
      <alignment vertical="center" wrapText="1"/>
    </xf>
    <xf numFmtId="165" fontId="29" fillId="0" borderId="15" xfId="0" applyNumberFormat="1" applyFont="1" applyBorder="1" applyAlignment="1">
      <alignment vertical="center" wrapText="1"/>
    </xf>
    <xf numFmtId="165" fontId="29" fillId="0" borderId="15" xfId="0" applyNumberFormat="1" applyFont="1" applyFill="1" applyBorder="1" applyAlignment="1">
      <alignment vertical="center" wrapText="1"/>
    </xf>
    <xf numFmtId="165" fontId="29" fillId="0" borderId="18" xfId="0" applyNumberFormat="1" applyFont="1" applyBorder="1" applyAlignment="1">
      <alignment vertical="center" wrapText="1"/>
    </xf>
    <xf numFmtId="165" fontId="29" fillId="0" borderId="24" xfId="0" applyNumberFormat="1" applyFont="1" applyBorder="1" applyAlignment="1">
      <alignment vertical="center" wrapText="1"/>
    </xf>
    <xf numFmtId="165" fontId="29" fillId="0" borderId="19" xfId="0" applyNumberFormat="1" applyFont="1" applyBorder="1" applyAlignment="1">
      <alignment vertical="center" wrapText="1"/>
    </xf>
    <xf numFmtId="165" fontId="28" fillId="3" borderId="5" xfId="0" applyNumberFormat="1" applyFont="1" applyFill="1" applyBorder="1" applyAlignment="1">
      <alignment vertical="center" wrapText="1"/>
    </xf>
    <xf numFmtId="165" fontId="28" fillId="3" borderId="6" xfId="0" applyNumberFormat="1" applyFont="1" applyFill="1" applyBorder="1" applyAlignment="1">
      <alignment vertical="center" wrapText="1"/>
    </xf>
    <xf numFmtId="165" fontId="28" fillId="3" borderId="7" xfId="0" applyNumberFormat="1" applyFont="1" applyFill="1" applyBorder="1" applyAlignment="1">
      <alignment vertical="center" wrapText="1"/>
    </xf>
    <xf numFmtId="165" fontId="29" fillId="0" borderId="21" xfId="0" applyNumberFormat="1" applyFont="1" applyBorder="1" applyAlignment="1">
      <alignment vertical="center" wrapText="1"/>
    </xf>
    <xf numFmtId="165" fontId="29" fillId="0" borderId="22" xfId="0" applyNumberFormat="1" applyFont="1" applyBorder="1" applyAlignment="1">
      <alignment vertical="center" wrapText="1"/>
    </xf>
    <xf numFmtId="165" fontId="29" fillId="0" borderId="23" xfId="0" applyNumberFormat="1" applyFont="1" applyBorder="1" applyAlignment="1">
      <alignment vertical="center" wrapText="1"/>
    </xf>
    <xf numFmtId="0" fontId="29" fillId="0" borderId="17" xfId="0" applyFont="1" applyBorder="1" applyAlignment="1">
      <alignment vertical="center" wrapText="1"/>
    </xf>
    <xf numFmtId="0" fontId="33" fillId="0" borderId="0" xfId="0" applyFont="1" applyAlignment="1">
      <alignment vertical="center"/>
    </xf>
    <xf numFmtId="0" fontId="34" fillId="0" borderId="1" xfId="0" applyFont="1" applyBorder="1" applyAlignment="1">
      <alignment horizontal="right" vertical="center" wrapText="1"/>
    </xf>
    <xf numFmtId="165" fontId="34" fillId="2" borderId="5" xfId="0" applyNumberFormat="1" applyFont="1" applyFill="1" applyBorder="1" applyAlignment="1">
      <alignment vertical="center" wrapText="1"/>
    </xf>
    <xf numFmtId="165" fontId="34" fillId="2" borderId="6" xfId="0" applyNumberFormat="1" applyFont="1" applyFill="1" applyBorder="1" applyAlignment="1">
      <alignment vertical="center" wrapText="1"/>
    </xf>
    <xf numFmtId="165" fontId="34" fillId="2" borderId="7" xfId="0" applyNumberFormat="1" applyFont="1" applyFill="1" applyBorder="1" applyAlignment="1">
      <alignment vertical="center" wrapText="1"/>
    </xf>
    <xf numFmtId="165" fontId="34" fillId="2" borderId="28" xfId="0" applyNumberFormat="1" applyFont="1" applyFill="1" applyBorder="1" applyAlignment="1">
      <alignment horizontal="center" vertical="center" wrapText="1"/>
    </xf>
    <xf numFmtId="165" fontId="35" fillId="0" borderId="0" xfId="0" applyNumberFormat="1" applyFont="1" applyAlignment="1">
      <alignment vertical="center" wrapText="1"/>
    </xf>
    <xf numFmtId="165" fontId="35" fillId="0" borderId="0" xfId="0" applyNumberFormat="1" applyFont="1" applyAlignment="1">
      <alignment horizontal="center" vertical="center" wrapText="1"/>
    </xf>
    <xf numFmtId="165" fontId="35" fillId="0" borderId="0" xfId="0" applyNumberFormat="1" applyFont="1" applyAlignment="1">
      <alignment vertical="center"/>
    </xf>
    <xf numFmtId="165" fontId="35" fillId="0" borderId="0" xfId="0" applyNumberFormat="1" applyFont="1" applyAlignment="1">
      <alignment horizontal="center" vertical="center"/>
    </xf>
    <xf numFmtId="0" fontId="35" fillId="0" borderId="0" xfId="0" applyFont="1" applyAlignment="1">
      <alignment vertical="center"/>
    </xf>
    <xf numFmtId="0" fontId="35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6" fillId="0" borderId="0" xfId="0" applyFont="1" applyBorder="1" applyAlignment="1">
      <alignment horizontal="center" vertical="center"/>
    </xf>
    <xf numFmtId="0" fontId="25" fillId="0" borderId="0" xfId="0" applyFont="1" applyBorder="1" applyAlignment="1">
      <alignment horizontal="center" vertical="center"/>
    </xf>
    <xf numFmtId="0" fontId="29" fillId="0" borderId="30" xfId="0" applyFont="1" applyBorder="1" applyAlignment="1">
      <alignment horizontal="left" vertical="center" wrapText="1" indent="1"/>
    </xf>
    <xf numFmtId="165" fontId="29" fillId="0" borderId="0" xfId="0" applyNumberFormat="1" applyFont="1" applyBorder="1" applyAlignment="1">
      <alignment horizontal="right" vertical="center" wrapText="1"/>
    </xf>
    <xf numFmtId="0" fontId="29" fillId="0" borderId="31" xfId="0" applyFont="1" applyBorder="1" applyAlignment="1">
      <alignment horizontal="left" vertical="center" wrapText="1" indent="1"/>
    </xf>
    <xf numFmtId="165" fontId="29" fillId="0" borderId="26" xfId="0" applyNumberFormat="1" applyFont="1" applyBorder="1" applyAlignment="1">
      <alignment horizontal="right" vertical="center" wrapText="1"/>
    </xf>
    <xf numFmtId="0" fontId="29" fillId="0" borderId="32" xfId="0" applyFont="1" applyBorder="1" applyAlignment="1">
      <alignment horizontal="left" vertical="center" wrapText="1" indent="1"/>
    </xf>
    <xf numFmtId="165" fontId="29" fillId="0" borderId="18" xfId="0" applyNumberFormat="1" applyFont="1" applyBorder="1" applyAlignment="1">
      <alignment horizontal="right" vertical="center" wrapText="1"/>
    </xf>
    <xf numFmtId="165" fontId="31" fillId="0" borderId="27" xfId="0" applyNumberFormat="1" applyFont="1" applyBorder="1" applyAlignment="1">
      <alignment horizontal="right" vertical="center" wrapText="1"/>
    </xf>
    <xf numFmtId="165" fontId="30" fillId="0" borderId="36" xfId="0" applyNumberFormat="1" applyFont="1" applyBorder="1" applyAlignment="1">
      <alignment horizontal="right" vertical="center" wrapText="1"/>
    </xf>
    <xf numFmtId="165" fontId="30" fillId="0" borderId="0" xfId="0" applyNumberFormat="1" applyFont="1" applyBorder="1" applyAlignment="1">
      <alignment horizontal="right" vertical="center" wrapText="1"/>
    </xf>
    <xf numFmtId="165" fontId="31" fillId="0" borderId="15" xfId="0" applyNumberFormat="1" applyFont="1" applyBorder="1" applyAlignment="1">
      <alignment horizontal="right" vertical="center" wrapText="1"/>
    </xf>
    <xf numFmtId="165" fontId="31" fillId="0" borderId="0" xfId="0" applyNumberFormat="1" applyFont="1" applyBorder="1" applyAlignment="1">
      <alignment horizontal="right" vertical="center" wrapText="1"/>
    </xf>
    <xf numFmtId="0" fontId="29" fillId="0" borderId="33" xfId="0" applyFont="1" applyBorder="1" applyAlignment="1">
      <alignment horizontal="left" vertical="center" wrapText="1" indent="1"/>
    </xf>
    <xf numFmtId="165" fontId="29" fillId="0" borderId="29" xfId="0" applyNumberFormat="1" applyFont="1" applyBorder="1" applyAlignment="1">
      <alignment horizontal="right" vertical="center" wrapText="1"/>
    </xf>
    <xf numFmtId="165" fontId="31" fillId="0" borderId="34" xfId="0" applyNumberFormat="1" applyFont="1" applyBorder="1" applyAlignment="1">
      <alignment horizontal="right" vertical="center" wrapText="1"/>
    </xf>
    <xf numFmtId="165" fontId="31" fillId="0" borderId="35" xfId="0" applyNumberFormat="1" applyFont="1" applyBorder="1" applyAlignment="1">
      <alignment horizontal="right" vertical="center" wrapText="1"/>
    </xf>
    <xf numFmtId="165" fontId="28" fillId="0" borderId="0" xfId="0" applyNumberFormat="1" applyFont="1" applyFill="1" applyBorder="1" applyAlignment="1">
      <alignment horizontal="right" vertical="center" wrapText="1"/>
    </xf>
    <xf numFmtId="0" fontId="25" fillId="0" borderId="0" xfId="0" applyFont="1" applyBorder="1" applyAlignment="1">
      <alignment vertical="center"/>
    </xf>
    <xf numFmtId="165" fontId="28" fillId="3" borderId="28" xfId="0" applyNumberFormat="1" applyFont="1" applyFill="1" applyBorder="1" applyAlignment="1">
      <alignment horizontal="right" vertical="center" wrapText="1"/>
    </xf>
    <xf numFmtId="165" fontId="28" fillId="13" borderId="28" xfId="0" applyNumberFormat="1" applyFont="1" applyFill="1" applyBorder="1" applyAlignment="1">
      <alignment vertical="center"/>
    </xf>
    <xf numFmtId="0" fontId="24" fillId="0" borderId="0" xfId="0" applyFont="1" applyBorder="1" applyAlignment="1">
      <alignment horizontal="center" vertical="center"/>
    </xf>
    <xf numFmtId="0" fontId="36" fillId="0" borderId="0" xfId="0" applyFont="1" applyAlignment="1">
      <alignment vertical="center"/>
    </xf>
    <xf numFmtId="0" fontId="29" fillId="0" borderId="12" xfId="0" applyFont="1" applyFill="1" applyBorder="1" applyAlignment="1">
      <alignment horizontal="left" vertical="center" wrapText="1" indent="1"/>
    </xf>
    <xf numFmtId="0" fontId="28" fillId="0" borderId="3" xfId="0" applyFont="1" applyBorder="1" applyAlignment="1">
      <alignment horizontal="center" vertical="center" textRotation="90"/>
    </xf>
    <xf numFmtId="0" fontId="29" fillId="0" borderId="20" xfId="0" applyFont="1" applyFill="1" applyBorder="1" applyAlignment="1">
      <alignment horizontal="left" vertical="center" wrapText="1" indent="1"/>
    </xf>
    <xf numFmtId="0" fontId="29" fillId="0" borderId="30" xfId="0" applyFont="1" applyFill="1" applyBorder="1" applyAlignment="1">
      <alignment horizontal="left" vertical="center" indent="1"/>
    </xf>
    <xf numFmtId="0" fontId="29" fillId="0" borderId="31" xfId="0" applyFont="1" applyFill="1" applyBorder="1" applyAlignment="1">
      <alignment horizontal="left" vertical="center" indent="1"/>
    </xf>
    <xf numFmtId="0" fontId="29" fillId="0" borderId="32" xfId="0" applyFont="1" applyBorder="1" applyAlignment="1">
      <alignment horizontal="left" vertical="center" indent="1"/>
    </xf>
    <xf numFmtId="0" fontId="29" fillId="0" borderId="31" xfId="0" applyFont="1" applyBorder="1" applyAlignment="1">
      <alignment horizontal="left" vertical="center" indent="1"/>
    </xf>
    <xf numFmtId="0" fontId="29" fillId="0" borderId="48" xfId="0" applyFont="1" applyBorder="1" applyAlignment="1">
      <alignment horizontal="left" vertical="center" wrapText="1" indent="1"/>
    </xf>
    <xf numFmtId="0" fontId="33" fillId="0" borderId="3" xfId="0" applyFont="1" applyBorder="1" applyAlignment="1">
      <alignment vertical="center"/>
    </xf>
    <xf numFmtId="0" fontId="34" fillId="0" borderId="0" xfId="0" applyFont="1" applyBorder="1" applyAlignment="1">
      <alignment horizontal="right" vertical="center" wrapText="1"/>
    </xf>
    <xf numFmtId="0" fontId="26" fillId="0" borderId="0" xfId="0" applyFont="1" applyAlignment="1">
      <alignment horizontal="center" vertical="center"/>
    </xf>
    <xf numFmtId="0" fontId="24" fillId="0" borderId="41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center" vertical="center" wrapText="1"/>
    </xf>
    <xf numFmtId="165" fontId="26" fillId="0" borderId="0" xfId="0" applyNumberFormat="1" applyFont="1" applyAlignment="1">
      <alignment horizontal="center" vertical="center"/>
    </xf>
    <xf numFmtId="165" fontId="29" fillId="0" borderId="12" xfId="0" applyNumberFormat="1" applyFont="1" applyFill="1" applyBorder="1" applyAlignment="1">
      <alignment horizontal="left" vertical="center" wrapText="1" indent="1"/>
    </xf>
    <xf numFmtId="165" fontId="28" fillId="0" borderId="1" xfId="0" applyNumberFormat="1" applyFont="1" applyBorder="1" applyAlignment="1">
      <alignment horizontal="right" vertical="center" wrapText="1"/>
    </xf>
    <xf numFmtId="165" fontId="29" fillId="0" borderId="20" xfId="0" applyNumberFormat="1" applyFont="1" applyFill="1" applyBorder="1" applyAlignment="1">
      <alignment horizontal="left" vertical="center" wrapText="1" indent="1"/>
    </xf>
    <xf numFmtId="165" fontId="29" fillId="0" borderId="49" xfId="0" applyNumberFormat="1" applyFont="1" applyFill="1" applyBorder="1" applyAlignment="1">
      <alignment horizontal="left" vertical="center" indent="1"/>
    </xf>
    <xf numFmtId="165" fontId="29" fillId="0" borderId="26" xfId="0" applyNumberFormat="1" applyFont="1" applyFill="1" applyBorder="1" applyAlignment="1">
      <alignment horizontal="left" vertical="center" indent="1"/>
    </xf>
    <xf numFmtId="165" fontId="29" fillId="0" borderId="36" xfId="0" applyNumberFormat="1" applyFont="1" applyBorder="1" applyAlignment="1">
      <alignment horizontal="left" vertical="center" indent="1"/>
    </xf>
    <xf numFmtId="165" fontId="29" fillId="0" borderId="26" xfId="0" applyNumberFormat="1" applyFont="1" applyBorder="1" applyAlignment="1">
      <alignment horizontal="left" vertical="center" indent="1"/>
    </xf>
    <xf numFmtId="165" fontId="29" fillId="0" borderId="50" xfId="0" applyNumberFormat="1" applyFont="1" applyBorder="1" applyAlignment="1">
      <alignment horizontal="left" vertical="center" wrapText="1" indent="1"/>
    </xf>
    <xf numFmtId="165" fontId="34" fillId="0" borderId="1" xfId="4" applyNumberFormat="1" applyFont="1" applyBorder="1" applyAlignment="1">
      <alignment horizontal="right" vertical="center" wrapText="1"/>
    </xf>
    <xf numFmtId="165" fontId="34" fillId="0" borderId="0" xfId="0" applyNumberFormat="1" applyFont="1" applyBorder="1" applyAlignment="1">
      <alignment horizontal="right" vertical="center" wrapText="1"/>
    </xf>
    <xf numFmtId="165" fontId="25" fillId="0" borderId="0" xfId="0" applyNumberFormat="1" applyFont="1" applyAlignment="1">
      <alignment vertical="center" wrapText="1"/>
    </xf>
    <xf numFmtId="165" fontId="25" fillId="0" borderId="0" xfId="0" applyNumberFormat="1" applyFont="1" applyAlignment="1">
      <alignment vertical="center"/>
    </xf>
    <xf numFmtId="165" fontId="30" fillId="0" borderId="46" xfId="0" applyNumberFormat="1" applyFont="1" applyBorder="1" applyAlignment="1">
      <alignment horizontal="right" vertical="center" wrapText="1"/>
    </xf>
    <xf numFmtId="165" fontId="29" fillId="0" borderId="47" xfId="0" applyNumberFormat="1" applyFont="1" applyBorder="1" applyAlignment="1">
      <alignment horizontal="right" vertical="center" wrapText="1"/>
    </xf>
    <xf numFmtId="165" fontId="28" fillId="0" borderId="14" xfId="0" applyNumberFormat="1" applyFont="1" applyBorder="1" applyAlignment="1">
      <alignment horizontal="right" vertical="center" wrapText="1"/>
    </xf>
    <xf numFmtId="168" fontId="28" fillId="0" borderId="1" xfId="0" applyNumberFormat="1" applyFont="1" applyBorder="1" applyAlignment="1">
      <alignment horizontal="right" vertical="center" wrapText="1"/>
    </xf>
    <xf numFmtId="168" fontId="29" fillId="0" borderId="20" xfId="0" applyNumberFormat="1" applyFont="1" applyFill="1" applyBorder="1" applyAlignment="1">
      <alignment horizontal="right" vertical="center" wrapText="1" indent="1"/>
    </xf>
    <xf numFmtId="168" fontId="29" fillId="0" borderId="12" xfId="0" applyNumberFormat="1" applyFont="1" applyFill="1" applyBorder="1" applyAlignment="1">
      <alignment horizontal="right" vertical="center" wrapText="1" indent="1"/>
    </xf>
    <xf numFmtId="44" fontId="29" fillId="0" borderId="49" xfId="0" applyNumberFormat="1" applyFont="1" applyFill="1" applyBorder="1" applyAlignment="1">
      <alignment vertical="center"/>
    </xf>
    <xf numFmtId="44" fontId="29" fillId="0" borderId="26" xfId="0" applyNumberFormat="1" applyFont="1" applyFill="1" applyBorder="1" applyAlignment="1">
      <alignment vertical="center"/>
    </xf>
    <xf numFmtId="44" fontId="29" fillId="0" borderId="36" xfId="0" applyNumberFormat="1" applyFont="1" applyBorder="1" applyAlignment="1">
      <alignment vertical="center"/>
    </xf>
    <xf numFmtId="44" fontId="29" fillId="0" borderId="26" xfId="0" applyNumberFormat="1" applyFont="1" applyBorder="1" applyAlignment="1">
      <alignment vertical="center"/>
    </xf>
    <xf numFmtId="44" fontId="29" fillId="0" borderId="50" xfId="0" applyNumberFormat="1" applyFont="1" applyBorder="1" applyAlignment="1">
      <alignment vertical="center" wrapText="1"/>
    </xf>
    <xf numFmtId="44" fontId="28" fillId="0" borderId="1" xfId="0" applyNumberFormat="1" applyFont="1" applyBorder="1" applyAlignment="1">
      <alignment vertical="center" wrapText="1"/>
    </xf>
    <xf numFmtId="0" fontId="26" fillId="0" borderId="0" xfId="0" applyFont="1" applyAlignment="1">
      <alignment horizontal="center" vertical="center"/>
    </xf>
    <xf numFmtId="0" fontId="28" fillId="0" borderId="64" xfId="0" applyFont="1" applyBorder="1" applyAlignment="1">
      <alignment horizontal="center" vertical="center" textRotation="90" wrapText="1"/>
    </xf>
    <xf numFmtId="0" fontId="28" fillId="0" borderId="65" xfId="0" applyFont="1" applyBorder="1" applyAlignment="1">
      <alignment horizontal="center" vertical="center" textRotation="90" wrapText="1"/>
    </xf>
    <xf numFmtId="0" fontId="28" fillId="0" borderId="33" xfId="0" applyFont="1" applyBorder="1" applyAlignment="1">
      <alignment horizontal="center" vertical="center" textRotation="90" wrapText="1"/>
    </xf>
    <xf numFmtId="0" fontId="24" fillId="0" borderId="8" xfId="0" applyFont="1" applyBorder="1" applyAlignment="1">
      <alignment horizontal="center" vertical="center"/>
    </xf>
    <xf numFmtId="0" fontId="24" fillId="0" borderId="66" xfId="0" applyFont="1" applyBorder="1" applyAlignment="1">
      <alignment horizontal="center" vertical="center"/>
    </xf>
    <xf numFmtId="0" fontId="24" fillId="0" borderId="49" xfId="0" applyFont="1" applyBorder="1" applyAlignment="1">
      <alignment horizontal="center" vertical="center"/>
    </xf>
    <xf numFmtId="0" fontId="24" fillId="0" borderId="37" xfId="0" applyFont="1" applyBorder="1" applyAlignment="1">
      <alignment horizontal="center" vertical="center" wrapText="1"/>
    </xf>
    <xf numFmtId="0" fontId="24" fillId="0" borderId="67" xfId="0" applyFont="1" applyBorder="1" applyAlignment="1">
      <alignment horizontal="center" vertical="center" wrapText="1"/>
    </xf>
    <xf numFmtId="0" fontId="24" fillId="0" borderId="3" xfId="0" applyFont="1" applyBorder="1" applyAlignment="1">
      <alignment horizontal="center" vertical="center" wrapText="1"/>
    </xf>
    <xf numFmtId="0" fontId="24" fillId="0" borderId="35" xfId="0" applyFont="1" applyBorder="1" applyAlignment="1">
      <alignment horizontal="center" vertical="center" wrapText="1"/>
    </xf>
    <xf numFmtId="0" fontId="28" fillId="0" borderId="64" xfId="0" applyFont="1" applyBorder="1" applyAlignment="1">
      <alignment horizontal="center" vertical="center" textRotation="90"/>
    </xf>
    <xf numFmtId="0" fontId="28" fillId="0" borderId="65" xfId="0" applyFont="1" applyBorder="1" applyAlignment="1">
      <alignment horizontal="center" vertical="center" textRotation="90"/>
    </xf>
    <xf numFmtId="0" fontId="28" fillId="0" borderId="33" xfId="0" applyFont="1" applyBorder="1" applyAlignment="1">
      <alignment horizontal="center" vertical="center" textRotation="90"/>
    </xf>
    <xf numFmtId="0" fontId="25" fillId="8" borderId="1" xfId="0" applyFont="1" applyFill="1" applyBorder="1" applyAlignment="1">
      <alignment horizontal="center" vertical="center"/>
    </xf>
    <xf numFmtId="0" fontId="25" fillId="8" borderId="62" xfId="0" applyFont="1" applyFill="1" applyBorder="1" applyAlignment="1">
      <alignment horizontal="center" vertical="center"/>
    </xf>
    <xf numFmtId="0" fontId="25" fillId="8" borderId="63" xfId="0" applyFont="1" applyFill="1" applyBorder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0" fontId="24" fillId="0" borderId="62" xfId="0" applyFont="1" applyBorder="1" applyAlignment="1">
      <alignment horizontal="center" vertical="center"/>
    </xf>
    <xf numFmtId="0" fontId="24" fillId="0" borderId="63" xfId="0" applyFont="1" applyBorder="1" applyAlignment="1">
      <alignment horizontal="center" vertical="center"/>
    </xf>
    <xf numFmtId="0" fontId="25" fillId="0" borderId="72" xfId="0" applyFont="1" applyBorder="1" applyAlignment="1">
      <alignment horizontal="center" vertical="center"/>
    </xf>
    <xf numFmtId="0" fontId="28" fillId="0" borderId="37" xfId="0" applyFont="1" applyBorder="1" applyAlignment="1">
      <alignment horizontal="center" vertical="center" textRotation="90"/>
    </xf>
    <xf numFmtId="0" fontId="28" fillId="0" borderId="41" xfId="0" applyFont="1" applyBorder="1" applyAlignment="1">
      <alignment horizontal="center" vertical="center" textRotation="90"/>
    </xf>
    <xf numFmtId="0" fontId="29" fillId="0" borderId="8" xfId="0" applyFont="1" applyBorder="1" applyAlignment="1">
      <alignment horizontal="center" vertical="center" wrapText="1"/>
    </xf>
    <xf numFmtId="0" fontId="29" fillId="0" borderId="66" xfId="0" applyFont="1" applyBorder="1" applyAlignment="1">
      <alignment horizontal="center" vertical="center" wrapText="1"/>
    </xf>
    <xf numFmtId="164" fontId="2" fillId="5" borderId="39" xfId="1" applyFont="1" applyFill="1" applyBorder="1" applyAlignment="1">
      <alignment horizontal="center" vertical="center" wrapText="1"/>
    </xf>
    <xf numFmtId="164" fontId="2" fillId="5" borderId="2" xfId="1" applyFont="1" applyFill="1" applyBorder="1" applyAlignment="1">
      <alignment horizontal="center" vertical="center" wrapText="1"/>
    </xf>
    <xf numFmtId="164" fontId="2" fillId="0" borderId="11" xfId="1" applyFont="1" applyBorder="1" applyAlignment="1">
      <alignment horizontal="center" vertical="center"/>
    </xf>
    <xf numFmtId="164" fontId="2" fillId="0" borderId="47" xfId="1" applyFont="1" applyBorder="1" applyAlignment="1">
      <alignment horizontal="center" vertical="center"/>
    </xf>
    <xf numFmtId="164" fontId="2" fillId="9" borderId="51" xfId="1" applyFont="1" applyFill="1" applyBorder="1" applyAlignment="1">
      <alignment horizontal="center" vertical="center" wrapText="1"/>
    </xf>
    <xf numFmtId="164" fontId="2" fillId="9" borderId="60" xfId="1" applyFont="1" applyFill="1" applyBorder="1" applyAlignment="1">
      <alignment horizontal="center" vertical="center" wrapText="1"/>
    </xf>
    <xf numFmtId="0" fontId="19" fillId="14" borderId="3" xfId="0" applyFont="1" applyFill="1" applyBorder="1" applyAlignment="1">
      <alignment horizontal="center" vertical="center" wrapText="1"/>
    </xf>
    <xf numFmtId="0" fontId="19" fillId="14" borderId="72" xfId="0" applyFont="1" applyFill="1" applyBorder="1" applyAlignment="1">
      <alignment horizontal="center" vertical="center" wrapText="1"/>
    </xf>
    <xf numFmtId="0" fontId="19" fillId="14" borderId="35" xfId="0" applyFont="1" applyFill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19" fillId="11" borderId="64" xfId="0" applyFont="1" applyFill="1" applyBorder="1" applyAlignment="1">
      <alignment horizontal="center" vertical="center" wrapText="1"/>
    </xf>
    <xf numFmtId="0" fontId="19" fillId="11" borderId="33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19" fillId="3" borderId="62" xfId="0" applyFont="1" applyFill="1" applyBorder="1" applyAlignment="1">
      <alignment horizontal="center" vertical="center" wrapText="1"/>
    </xf>
    <xf numFmtId="0" fontId="19" fillId="3" borderId="63" xfId="0" applyFont="1" applyFill="1" applyBorder="1" applyAlignment="1">
      <alignment horizontal="center" vertical="center" wrapText="1"/>
    </xf>
    <xf numFmtId="0" fontId="19" fillId="13" borderId="1" xfId="0" applyFont="1" applyFill="1" applyBorder="1" applyAlignment="1">
      <alignment horizontal="center" vertical="center" wrapText="1"/>
    </xf>
    <xf numFmtId="0" fontId="19" fillId="13" borderId="62" xfId="0" applyFont="1" applyFill="1" applyBorder="1" applyAlignment="1">
      <alignment horizontal="center" vertical="center" wrapText="1"/>
    </xf>
    <xf numFmtId="0" fontId="19" fillId="13" borderId="63" xfId="0" applyFont="1" applyFill="1" applyBorder="1" applyAlignment="1">
      <alignment horizontal="center" vertical="center" wrapText="1"/>
    </xf>
    <xf numFmtId="1" fontId="19" fillId="12" borderId="1" xfId="3" applyNumberFormat="1" applyFont="1" applyFill="1" applyBorder="1" applyAlignment="1">
      <alignment horizontal="center" vertical="center" wrapText="1"/>
    </xf>
    <xf numFmtId="1" fontId="19" fillId="12" borderId="63" xfId="3" applyNumberFormat="1" applyFont="1" applyFill="1" applyBorder="1" applyAlignment="1">
      <alignment horizontal="center" vertical="center" wrapText="1"/>
    </xf>
    <xf numFmtId="1" fontId="19" fillId="12" borderId="62" xfId="3" applyNumberFormat="1" applyFont="1" applyFill="1" applyBorder="1" applyAlignment="1">
      <alignment horizontal="center" vertical="center" wrapText="1"/>
    </xf>
    <xf numFmtId="1" fontId="19" fillId="12" borderId="37" xfId="3" applyNumberFormat="1" applyFont="1" applyFill="1" applyBorder="1" applyAlignment="1">
      <alignment horizontal="center" vertical="center" wrapText="1"/>
    </xf>
    <xf numFmtId="1" fontId="19" fillId="12" borderId="67" xfId="3" applyNumberFormat="1" applyFont="1" applyFill="1" applyBorder="1" applyAlignment="1">
      <alignment horizontal="center" vertical="center" wrapText="1"/>
    </xf>
    <xf numFmtId="1" fontId="19" fillId="12" borderId="40" xfId="3" applyNumberFormat="1" applyFont="1" applyFill="1" applyBorder="1" applyAlignment="1">
      <alignment horizontal="center" vertical="center" wrapText="1"/>
    </xf>
    <xf numFmtId="165" fontId="19" fillId="0" borderId="0" xfId="0" applyNumberFormat="1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horizontal="center" vertical="center" wrapText="1"/>
    </xf>
    <xf numFmtId="0" fontId="20" fillId="0" borderId="45" xfId="0" applyFont="1" applyFill="1" applyBorder="1" applyAlignment="1">
      <alignment horizontal="center" vertical="center" wrapText="1"/>
    </xf>
    <xf numFmtId="165" fontId="20" fillId="0" borderId="10" xfId="0" applyNumberFormat="1" applyFont="1" applyFill="1" applyBorder="1" applyAlignment="1">
      <alignment horizontal="left" vertical="center" wrapText="1" indent="1"/>
    </xf>
    <xf numFmtId="165" fontId="20" fillId="0" borderId="69" xfId="0" applyNumberFormat="1" applyFont="1" applyFill="1" applyBorder="1" applyAlignment="1">
      <alignment horizontal="left" vertical="center" wrapText="1" indent="1"/>
    </xf>
    <xf numFmtId="165" fontId="20" fillId="0" borderId="14" xfId="0" applyNumberFormat="1" applyFont="1" applyFill="1" applyBorder="1" applyAlignment="1">
      <alignment horizontal="left" vertical="center" wrapText="1" indent="1"/>
    </xf>
    <xf numFmtId="165" fontId="20" fillId="0" borderId="55" xfId="0" applyNumberFormat="1" applyFont="1" applyFill="1" applyBorder="1" applyAlignment="1">
      <alignment horizontal="left" vertical="center" wrapText="1" indent="1"/>
    </xf>
    <xf numFmtId="165" fontId="20" fillId="0" borderId="78" xfId="0" applyNumberFormat="1" applyFont="1" applyFill="1" applyBorder="1" applyAlignment="1">
      <alignment horizontal="left" vertical="center" wrapText="1" indent="1"/>
    </xf>
    <xf numFmtId="165" fontId="20" fillId="0" borderId="26" xfId="0" applyNumberFormat="1" applyFont="1" applyFill="1" applyBorder="1" applyAlignment="1">
      <alignment horizontal="left" vertical="center" wrapText="1" indent="1"/>
    </xf>
    <xf numFmtId="165" fontId="20" fillId="0" borderId="55" xfId="0" applyNumberFormat="1" applyFont="1" applyBorder="1" applyAlignment="1">
      <alignment vertical="center" wrapText="1"/>
    </xf>
    <xf numFmtId="165" fontId="20" fillId="0" borderId="78" xfId="0" applyNumberFormat="1" applyFont="1" applyBorder="1" applyAlignment="1">
      <alignment vertical="center" wrapText="1"/>
    </xf>
    <xf numFmtId="165" fontId="20" fillId="0" borderId="16" xfId="0" applyNumberFormat="1" applyFont="1" applyBorder="1" applyAlignment="1">
      <alignment vertical="center" wrapText="1"/>
    </xf>
    <xf numFmtId="165" fontId="20" fillId="0" borderId="46" xfId="0" applyNumberFormat="1" applyFont="1" applyFill="1" applyBorder="1" applyAlignment="1">
      <alignment horizontal="left" vertical="center" wrapText="1" indent="1"/>
    </xf>
    <xf numFmtId="165" fontId="20" fillId="0" borderId="53" xfId="0" applyNumberFormat="1" applyFont="1" applyFill="1" applyBorder="1" applyAlignment="1">
      <alignment horizontal="left" vertical="center" wrapText="1" indent="1"/>
    </xf>
    <xf numFmtId="165" fontId="19" fillId="0" borderId="1" xfId="0" applyNumberFormat="1" applyFont="1" applyBorder="1" applyAlignment="1">
      <alignment horizontal="left" vertical="center" wrapText="1"/>
    </xf>
    <xf numFmtId="165" fontId="19" fillId="0" borderId="62" xfId="0" applyNumberFormat="1" applyFont="1" applyBorder="1" applyAlignment="1">
      <alignment horizontal="left" vertical="center" wrapText="1"/>
    </xf>
    <xf numFmtId="165" fontId="19" fillId="0" borderId="63" xfId="0" applyNumberFormat="1" applyFont="1" applyBorder="1" applyAlignment="1">
      <alignment horizontal="left" vertical="center" wrapText="1"/>
    </xf>
    <xf numFmtId="165" fontId="20" fillId="0" borderId="69" xfId="0" applyNumberFormat="1" applyFont="1" applyBorder="1" applyAlignment="1">
      <alignment vertical="center" wrapText="1"/>
    </xf>
    <xf numFmtId="165" fontId="20" fillId="0" borderId="66" xfId="0" applyNumberFormat="1" applyFont="1" applyBorder="1" applyAlignment="1">
      <alignment vertical="center" wrapText="1"/>
    </xf>
    <xf numFmtId="165" fontId="20" fillId="0" borderId="77" xfId="0" applyNumberFormat="1" applyFont="1" applyBorder="1" applyAlignment="1">
      <alignment vertical="center" wrapText="1"/>
    </xf>
  </cellXfs>
  <cellStyles count="5">
    <cellStyle name="Comma" xfId="3" builtinId="3"/>
    <cellStyle name="Comma_HIEA Fiscal Year 2007" xfId="1"/>
    <cellStyle name="Currency" xfId="4" builtinId="4"/>
    <cellStyle name="Normal" xfId="0" builtinId="0"/>
    <cellStyle name="Percent" xfId="2" builtinId="5"/>
  </cellStyles>
  <dxfs count="0"/>
  <tableStyles count="0" defaultTableStyle="TableStyleMedium9" defaultPivotStyle="PivotStyleLight16"/>
  <colors>
    <mruColors>
      <color rgb="FF000066"/>
      <color rgb="FF006600"/>
      <color rgb="FF008000"/>
      <color rgb="FF003300"/>
      <color rgb="FFCCFFCC"/>
      <color rgb="FF009900"/>
      <color rgb="FF33CC33"/>
      <color rgb="FF339933"/>
      <color rgb="FFFFFF99"/>
      <color rgb="FF99FFCC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plotArea>
      <c:layout>
        <c:manualLayout>
          <c:layoutTarget val="inner"/>
          <c:xMode val="edge"/>
          <c:yMode val="edge"/>
          <c:x val="0.23998479853792701"/>
          <c:y val="9.8891979819887871E-2"/>
          <c:w val="0.71318240046458459"/>
          <c:h val="0.61162282425540471"/>
        </c:manualLayout>
      </c:layout>
      <c:barChart>
        <c:barDir val="col"/>
        <c:grouping val="stacked"/>
        <c:ser>
          <c:idx val="0"/>
          <c:order val="0"/>
          <c:tx>
            <c:strRef>
              <c:f>'Historical Trends'!$A$34</c:f>
              <c:strCache>
                <c:ptCount val="1"/>
                <c:pt idx="0">
                  <c:v>Community Support</c:v>
                </c:pt>
              </c:strCache>
            </c:strRef>
          </c:tx>
          <c:spPr>
            <a:solidFill>
              <a:srgbClr val="006600"/>
            </a:solidFill>
            <a:ln>
              <a:solidFill>
                <a:sysClr val="windowText" lastClr="000000"/>
              </a:solidFill>
            </a:ln>
          </c:spPr>
          <c:cat>
            <c:numRef>
              <c:f>'Historical Trends'!$M$3:$Q$3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'Historical Trends'!$M$34:$Q$34</c:f>
              <c:numCache>
                <c:formatCode>"$"#,##0</c:formatCode>
                <c:ptCount val="5"/>
                <c:pt idx="0">
                  <c:v>42098.41</c:v>
                </c:pt>
                <c:pt idx="1">
                  <c:v>64264.160000000003</c:v>
                </c:pt>
                <c:pt idx="2">
                  <c:v>69911.08</c:v>
                </c:pt>
                <c:pt idx="3">
                  <c:v>77495.100000000006</c:v>
                </c:pt>
                <c:pt idx="4">
                  <c:v>84617.16</c:v>
                </c:pt>
              </c:numCache>
            </c:numRef>
          </c:val>
        </c:ser>
        <c:ser>
          <c:idx val="1"/>
          <c:order val="1"/>
          <c:tx>
            <c:strRef>
              <c:f>'Historical Trends'!$A$47</c:f>
              <c:strCache>
                <c:ptCount val="1"/>
                <c:pt idx="0">
                  <c:v>Educational Support</c:v>
                </c:pt>
              </c:strCache>
            </c:strRef>
          </c:tx>
          <c:spPr>
            <a:solidFill>
              <a:srgbClr val="00B050"/>
            </a:solidFill>
            <a:ln>
              <a:solidFill>
                <a:schemeClr val="tx1"/>
              </a:solidFill>
            </a:ln>
          </c:spPr>
          <c:cat>
            <c:numRef>
              <c:f>'Historical Trends'!$M$3:$Q$3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'Historical Trends'!$M$47:$Q$47</c:f>
              <c:numCache>
                <c:formatCode>"$"#,##0</c:formatCode>
                <c:ptCount val="5"/>
                <c:pt idx="0">
                  <c:v>39976.33</c:v>
                </c:pt>
                <c:pt idx="1">
                  <c:v>71720.14</c:v>
                </c:pt>
                <c:pt idx="2">
                  <c:v>96276.790000000008</c:v>
                </c:pt>
                <c:pt idx="3">
                  <c:v>114887.62000000001</c:v>
                </c:pt>
                <c:pt idx="4">
                  <c:v>153157.45000000001</c:v>
                </c:pt>
              </c:numCache>
            </c:numRef>
          </c:val>
        </c:ser>
        <c:overlap val="100"/>
        <c:axId val="54078464"/>
        <c:axId val="54097024"/>
      </c:barChart>
      <c:catAx>
        <c:axId val="54078464"/>
        <c:scaling>
          <c:orientation val="minMax"/>
        </c:scaling>
        <c:axPos val="b"/>
        <c:numFmt formatCode="General" sourceLinked="1"/>
        <c:tickLblPos val="nextTo"/>
        <c:spPr>
          <a:ln>
            <a:solidFill>
              <a:sysClr val="windowText" lastClr="000000"/>
            </a:solidFill>
          </a:ln>
        </c:spPr>
        <c:txPr>
          <a:bodyPr/>
          <a:lstStyle/>
          <a:p>
            <a:pPr>
              <a:defRPr sz="1600">
                <a:latin typeface="Candara" pitchFamily="34" charset="0"/>
                <a:cs typeface="Arial" pitchFamily="34" charset="0"/>
              </a:defRPr>
            </a:pPr>
            <a:endParaRPr lang="en-US"/>
          </a:p>
        </c:txPr>
        <c:crossAx val="54097024"/>
        <c:crosses val="autoZero"/>
        <c:auto val="1"/>
        <c:lblAlgn val="ctr"/>
        <c:lblOffset val="100"/>
      </c:catAx>
      <c:valAx>
        <c:axId val="54097024"/>
        <c:scaling>
          <c:orientation val="minMax"/>
          <c:max val="350000"/>
        </c:scaling>
        <c:axPos val="l"/>
        <c:majorGridlines>
          <c:spPr>
            <a:ln>
              <a:solidFill>
                <a:schemeClr val="tx1">
                  <a:lumMod val="50000"/>
                  <a:lumOff val="50000"/>
                </a:schemeClr>
              </a:solidFill>
            </a:ln>
          </c:spPr>
        </c:majorGridlines>
        <c:numFmt formatCode="&quot;$&quot;#,##0" sourceLinked="1"/>
        <c:tickLblPos val="nextTo"/>
        <c:spPr>
          <a:ln>
            <a:solidFill>
              <a:sysClr val="windowText" lastClr="000000"/>
            </a:solidFill>
          </a:ln>
        </c:spPr>
        <c:txPr>
          <a:bodyPr/>
          <a:lstStyle/>
          <a:p>
            <a:pPr>
              <a:defRPr sz="1600">
                <a:latin typeface="Candara" pitchFamily="34" charset="0"/>
                <a:cs typeface="Arial" pitchFamily="34" charset="0"/>
              </a:defRPr>
            </a:pPr>
            <a:endParaRPr lang="en-US"/>
          </a:p>
        </c:txPr>
        <c:crossAx val="54078464"/>
        <c:crosses val="autoZero"/>
        <c:crossBetween val="between"/>
        <c:majorUnit val="50000"/>
      </c:valAx>
      <c:spPr>
        <a:noFill/>
        <a:ln w="19050">
          <a:solidFill>
            <a:sysClr val="windowText" lastClr="000000"/>
          </a:solidFill>
        </a:ln>
      </c:spPr>
    </c:plotArea>
    <c:legend>
      <c:legendPos val="b"/>
      <c:layout>
        <c:manualLayout>
          <c:xMode val="edge"/>
          <c:yMode val="edge"/>
          <c:x val="0.20138207335482028"/>
          <c:y val="0.83265810336582236"/>
          <c:w val="0.78100771082371179"/>
          <c:h val="9.1025609750588543E-2"/>
        </c:manualLayout>
      </c:layout>
      <c:txPr>
        <a:bodyPr/>
        <a:lstStyle/>
        <a:p>
          <a:pPr>
            <a:defRPr sz="1600">
              <a:latin typeface="Candara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</c:chart>
  <c:spPr>
    <a:noFill/>
    <a:ln w="12700"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autoTitleDeleted val="1"/>
    <c:plotArea>
      <c:layout>
        <c:manualLayout>
          <c:layoutTarget val="inner"/>
          <c:xMode val="edge"/>
          <c:yMode val="edge"/>
          <c:x val="0.23679742304939252"/>
          <c:y val="0.18020693103276253"/>
          <c:w val="0.67279320048893199"/>
          <c:h val="0.59223549062130809"/>
        </c:manualLayout>
      </c:layout>
      <c:barChart>
        <c:barDir val="col"/>
        <c:grouping val="stacked"/>
        <c:ser>
          <c:idx val="1"/>
          <c:order val="0"/>
          <c:tx>
            <c:strRef>
              <c:f>[2]historic!$A$34</c:f>
              <c:strCache>
                <c:ptCount val="1"/>
                <c:pt idx="0">
                  <c:v>Community Support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  <a:ln>
              <a:solidFill>
                <a:sysClr val="windowText" lastClr="000000"/>
              </a:solidFill>
            </a:ln>
          </c:spPr>
          <c:cat>
            <c:numRef>
              <c:f>[2]historic!$K$3:$O$3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[2]historic!$K$34:$O$34</c:f>
              <c:numCache>
                <c:formatCode>General</c:formatCode>
                <c:ptCount val="5"/>
                <c:pt idx="0">
                  <c:v>38229.919999999991</c:v>
                </c:pt>
                <c:pt idx="1">
                  <c:v>71379.37999999999</c:v>
                </c:pt>
                <c:pt idx="2">
                  <c:v>113477.79</c:v>
                </c:pt>
                <c:pt idx="3">
                  <c:v>135643.53999999998</c:v>
                </c:pt>
                <c:pt idx="4">
                  <c:v>141290.46</c:v>
                </c:pt>
              </c:numCache>
            </c:numRef>
          </c:val>
        </c:ser>
        <c:ser>
          <c:idx val="0"/>
          <c:order val="1"/>
          <c:tx>
            <c:strRef>
              <c:f>[2]historic!$A$46</c:f>
              <c:strCache>
                <c:ptCount val="1"/>
                <c:pt idx="0">
                  <c:v>Educational Support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ysClr val="windowText" lastClr="000000"/>
              </a:solidFill>
            </a:ln>
          </c:spPr>
          <c:cat>
            <c:numRef>
              <c:f>[2]historic!$K$3:$O$3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[2]historic!$K$46:$O$46</c:f>
              <c:numCache>
                <c:formatCode>General</c:formatCode>
                <c:ptCount val="5"/>
                <c:pt idx="0">
                  <c:v>30251.43</c:v>
                </c:pt>
                <c:pt idx="1">
                  <c:v>64191.43</c:v>
                </c:pt>
                <c:pt idx="2">
                  <c:v>104167.76000000001</c:v>
                </c:pt>
                <c:pt idx="3">
                  <c:v>135911.57</c:v>
                </c:pt>
                <c:pt idx="4">
                  <c:v>160468.22</c:v>
                </c:pt>
              </c:numCache>
            </c:numRef>
          </c:val>
        </c:ser>
        <c:overlap val="100"/>
        <c:axId val="55726080"/>
        <c:axId val="55728384"/>
      </c:barChart>
      <c:catAx>
        <c:axId val="55726080"/>
        <c:scaling>
          <c:orientation val="minMax"/>
        </c:scaling>
        <c:axPos val="b"/>
        <c:numFmt formatCode="General" sourceLinked="1"/>
        <c:tickLblPos val="nextTo"/>
        <c:spPr>
          <a:ln>
            <a:solidFill>
              <a:sysClr val="windowText" lastClr="000000"/>
            </a:solidFill>
          </a:ln>
        </c:spPr>
        <c:txPr>
          <a:bodyPr/>
          <a:lstStyle/>
          <a:p>
            <a:pPr>
              <a:defRPr sz="900">
                <a:latin typeface="Tahoma" pitchFamily="34" charset="0"/>
                <a:cs typeface="Tahoma" pitchFamily="34" charset="0"/>
              </a:defRPr>
            </a:pPr>
            <a:endParaRPr lang="en-US"/>
          </a:p>
        </c:txPr>
        <c:crossAx val="55728384"/>
        <c:crosses val="autoZero"/>
        <c:auto val="1"/>
        <c:lblAlgn val="ctr"/>
        <c:lblOffset val="100"/>
      </c:catAx>
      <c:valAx>
        <c:axId val="55728384"/>
        <c:scaling>
          <c:orientation val="minMax"/>
        </c:scaling>
        <c:axPos val="l"/>
        <c:majorGridlines>
          <c:spPr>
            <a:ln>
              <a:solidFill>
                <a:schemeClr val="tx1"/>
              </a:solidFill>
            </a:ln>
          </c:spPr>
        </c:majorGridlines>
        <c:numFmt formatCode="General" sourceLinked="1"/>
        <c:tickLblPos val="nextTo"/>
        <c:spPr>
          <a:ln>
            <a:solidFill>
              <a:sysClr val="windowText" lastClr="000000"/>
            </a:solidFill>
          </a:ln>
        </c:spPr>
        <c:txPr>
          <a:bodyPr/>
          <a:lstStyle/>
          <a:p>
            <a:pPr>
              <a:defRPr sz="900">
                <a:latin typeface="Tahoma" pitchFamily="34" charset="0"/>
                <a:cs typeface="Tahoma" pitchFamily="34" charset="0"/>
              </a:defRPr>
            </a:pPr>
            <a:endParaRPr lang="en-US"/>
          </a:p>
        </c:txPr>
        <c:crossAx val="55726080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4.9843102945465172E-2"/>
          <c:y val="0.88028368511635036"/>
          <c:w val="0.89519792224924766"/>
          <c:h val="8.6040012517557343E-2"/>
        </c:manualLayout>
      </c:layout>
      <c:txPr>
        <a:bodyPr/>
        <a:lstStyle/>
        <a:p>
          <a:pPr>
            <a:defRPr sz="900">
              <a:latin typeface="Tahoma" pitchFamily="34" charset="0"/>
              <a:cs typeface="Tahoma" pitchFamily="34" charset="0"/>
            </a:defRPr>
          </a:pPr>
          <a:endParaRPr lang="en-US"/>
        </a:p>
      </c:txPr>
    </c:legend>
    <c:plotVisOnly val="1"/>
  </c:chart>
  <c:spPr>
    <a:noFill/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plotArea>
      <c:layout>
        <c:manualLayout>
          <c:layoutTarget val="inner"/>
          <c:xMode val="edge"/>
          <c:yMode val="edge"/>
          <c:x val="0.23998479853792712"/>
          <c:y val="9.8891979819887926E-2"/>
          <c:w val="0.71318240046458492"/>
          <c:h val="0.61162282425540493"/>
        </c:manualLayout>
      </c:layout>
      <c:barChart>
        <c:barDir val="col"/>
        <c:grouping val="stacked"/>
        <c:ser>
          <c:idx val="0"/>
          <c:order val="0"/>
          <c:tx>
            <c:strRef>
              <c:f>'Historical Trends'!$A$34</c:f>
              <c:strCache>
                <c:ptCount val="1"/>
                <c:pt idx="0">
                  <c:v>Community Support</c:v>
                </c:pt>
              </c:strCache>
            </c:strRef>
          </c:tx>
          <c:spPr>
            <a:solidFill>
              <a:srgbClr val="000066"/>
            </a:solidFill>
            <a:ln>
              <a:solidFill>
                <a:sysClr val="windowText" lastClr="000000"/>
              </a:solidFill>
            </a:ln>
          </c:spPr>
          <c:cat>
            <c:numRef>
              <c:f>'Historical Trends'!$M$3:$Q$3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'Historical Trends'!$M$34:$Q$34</c:f>
              <c:numCache>
                <c:formatCode>"$"#,##0</c:formatCode>
                <c:ptCount val="5"/>
                <c:pt idx="0">
                  <c:v>42098.41</c:v>
                </c:pt>
                <c:pt idx="1">
                  <c:v>64264.160000000003</c:v>
                </c:pt>
                <c:pt idx="2">
                  <c:v>69911.08</c:v>
                </c:pt>
                <c:pt idx="3">
                  <c:v>77495.100000000006</c:v>
                </c:pt>
                <c:pt idx="4">
                  <c:v>84617.16</c:v>
                </c:pt>
              </c:numCache>
            </c:numRef>
          </c:val>
        </c:ser>
        <c:ser>
          <c:idx val="1"/>
          <c:order val="1"/>
          <c:tx>
            <c:strRef>
              <c:f>'Historical Trends'!$A$47</c:f>
              <c:strCache>
                <c:ptCount val="1"/>
                <c:pt idx="0">
                  <c:v>Educational Support</c:v>
                </c:pt>
              </c:strCache>
            </c:strRef>
          </c:tx>
          <c:spPr>
            <a:solidFill>
              <a:srgbClr val="0070C0"/>
            </a:solidFill>
            <a:ln>
              <a:solidFill>
                <a:schemeClr val="tx1"/>
              </a:solidFill>
            </a:ln>
          </c:spPr>
          <c:cat>
            <c:numRef>
              <c:f>'Historical Trends'!$M$3:$Q$3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'Historical Trends'!$M$47:$Q$47</c:f>
              <c:numCache>
                <c:formatCode>"$"#,##0</c:formatCode>
                <c:ptCount val="5"/>
                <c:pt idx="0">
                  <c:v>39976.33</c:v>
                </c:pt>
                <c:pt idx="1">
                  <c:v>71720.14</c:v>
                </c:pt>
                <c:pt idx="2">
                  <c:v>96276.790000000008</c:v>
                </c:pt>
                <c:pt idx="3">
                  <c:v>114887.62000000001</c:v>
                </c:pt>
                <c:pt idx="4">
                  <c:v>153157.45000000001</c:v>
                </c:pt>
              </c:numCache>
            </c:numRef>
          </c:val>
        </c:ser>
        <c:overlap val="100"/>
        <c:axId val="56609408"/>
        <c:axId val="67077248"/>
      </c:barChart>
      <c:catAx>
        <c:axId val="56609408"/>
        <c:scaling>
          <c:orientation val="minMax"/>
        </c:scaling>
        <c:axPos val="b"/>
        <c:numFmt formatCode="General" sourceLinked="1"/>
        <c:tickLblPos val="nextTo"/>
        <c:spPr>
          <a:ln>
            <a:solidFill>
              <a:sysClr val="windowText" lastClr="000000"/>
            </a:solidFill>
          </a:ln>
        </c:spPr>
        <c:txPr>
          <a:bodyPr/>
          <a:lstStyle/>
          <a:p>
            <a:pPr>
              <a:defRPr sz="1600">
                <a:latin typeface="Candara" pitchFamily="34" charset="0"/>
                <a:cs typeface="Arial" pitchFamily="34" charset="0"/>
              </a:defRPr>
            </a:pPr>
            <a:endParaRPr lang="en-US"/>
          </a:p>
        </c:txPr>
        <c:crossAx val="67077248"/>
        <c:crosses val="autoZero"/>
        <c:auto val="1"/>
        <c:lblAlgn val="ctr"/>
        <c:lblOffset val="100"/>
      </c:catAx>
      <c:valAx>
        <c:axId val="67077248"/>
        <c:scaling>
          <c:orientation val="minMax"/>
          <c:max val="350000"/>
        </c:scaling>
        <c:axPos val="l"/>
        <c:majorGridlines>
          <c:spPr>
            <a:ln>
              <a:solidFill>
                <a:schemeClr val="tx1">
                  <a:lumMod val="50000"/>
                  <a:lumOff val="50000"/>
                </a:schemeClr>
              </a:solidFill>
            </a:ln>
          </c:spPr>
        </c:majorGridlines>
        <c:numFmt formatCode="&quot;$&quot;#,##0" sourceLinked="1"/>
        <c:tickLblPos val="nextTo"/>
        <c:spPr>
          <a:ln>
            <a:solidFill>
              <a:sysClr val="windowText" lastClr="000000"/>
            </a:solidFill>
          </a:ln>
        </c:spPr>
        <c:txPr>
          <a:bodyPr/>
          <a:lstStyle/>
          <a:p>
            <a:pPr>
              <a:defRPr sz="1600">
                <a:latin typeface="Candara" pitchFamily="34" charset="0"/>
                <a:cs typeface="Arial" pitchFamily="34" charset="0"/>
              </a:defRPr>
            </a:pPr>
            <a:endParaRPr lang="en-US"/>
          </a:p>
        </c:txPr>
        <c:crossAx val="56609408"/>
        <c:crosses val="autoZero"/>
        <c:crossBetween val="between"/>
        <c:majorUnit val="50000"/>
      </c:valAx>
      <c:spPr>
        <a:noFill/>
        <a:ln w="19050">
          <a:solidFill>
            <a:sysClr val="windowText" lastClr="000000"/>
          </a:solidFill>
        </a:ln>
      </c:spPr>
    </c:plotArea>
    <c:legend>
      <c:legendPos val="b"/>
      <c:layout>
        <c:manualLayout>
          <c:xMode val="edge"/>
          <c:yMode val="edge"/>
          <c:x val="2.1894923390986368E-2"/>
          <c:y val="0.8326581033658228"/>
          <c:w val="0.96049487403818135"/>
          <c:h val="9.1025609750588543E-2"/>
        </c:manualLayout>
      </c:layout>
      <c:txPr>
        <a:bodyPr/>
        <a:lstStyle/>
        <a:p>
          <a:pPr>
            <a:defRPr sz="1600">
              <a:latin typeface="Candara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</c:chart>
  <c:spPr>
    <a:noFill/>
    <a:ln w="12700">
      <a:noFill/>
    </a:ln>
  </c:sp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479425</xdr:colOff>
      <xdr:row>18</xdr:row>
      <xdr:rowOff>3174</xdr:rowOff>
    </xdr:from>
    <xdr:to>
      <xdr:col>31</xdr:col>
      <xdr:colOff>238125</xdr:colOff>
      <xdr:row>32</xdr:row>
      <xdr:rowOff>247649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23</xdr:col>
      <xdr:colOff>95250</xdr:colOff>
      <xdr:row>7</xdr:row>
      <xdr:rowOff>3174</xdr:rowOff>
    </xdr:from>
    <xdr:to>
      <xdr:col>28</xdr:col>
      <xdr:colOff>285750</xdr:colOff>
      <xdr:row>16</xdr:row>
      <xdr:rowOff>66675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33</xdr:col>
      <xdr:colOff>504825</xdr:colOff>
      <xdr:row>21</xdr:row>
      <xdr:rowOff>114300</xdr:rowOff>
    </xdr:from>
    <xdr:to>
      <xdr:col>41</xdr:col>
      <xdr:colOff>85725</xdr:colOff>
      <xdr:row>33</xdr:row>
      <xdr:rowOff>85725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0.09524</cdr:x>
      <cdr:y>0.01887</cdr:y>
    </cdr:from>
    <cdr:to>
      <cdr:x>0.96825</cdr:x>
      <cdr:y>0.13836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85749" y="47625"/>
          <a:ext cx="2619375" cy="3016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0.3267</cdr:x>
      <cdr:y>0.02233</cdr:y>
    </cdr:from>
    <cdr:to>
      <cdr:x>0.81361</cdr:x>
      <cdr:y>0.14121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990600" y="55233"/>
          <a:ext cx="1476375" cy="2940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 anchor="ctr"/>
        <a:lstStyle xmlns:a="http://schemas.openxmlformats.org/drawingml/2006/main"/>
        <a:p xmlns:a="http://schemas.openxmlformats.org/drawingml/2006/main">
          <a:pPr algn="ctr"/>
          <a:r>
            <a:rPr lang="en-US" sz="1000" b="1">
              <a:solidFill>
                <a:schemeClr val="accent3">
                  <a:lumMod val="50000"/>
                </a:schemeClr>
              </a:solidFill>
              <a:latin typeface="Tahoma" pitchFamily="34" charset="0"/>
              <a:cs typeface="Tahoma" pitchFamily="34" charset="0"/>
            </a:rPr>
            <a:t>5 Year Cumulative </a:t>
          </a:r>
        </a:p>
        <a:p xmlns:a="http://schemas.openxmlformats.org/drawingml/2006/main">
          <a:pPr algn="ctr"/>
          <a:r>
            <a:rPr lang="en-US" sz="1000" b="1">
              <a:solidFill>
                <a:schemeClr val="accent3">
                  <a:lumMod val="50000"/>
                </a:schemeClr>
              </a:solidFill>
              <a:latin typeface="Tahoma" pitchFamily="34" charset="0"/>
              <a:cs typeface="Tahoma" pitchFamily="34" charset="0"/>
            </a:rPr>
            <a:t>Support Spending 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KAREN%20LOGAN\Start%20Menu\Programs\My%20Documents\HIEA\business%20plans\Business%20Plan%20HIEA%202008%20Working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karen\My%20Documents\HIEA\business%20plans\2013\2013%20Business%20Plan%20with%20historic%20trends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ummary"/>
      <sheetName val="Operating costs"/>
      <sheetName val="Community"/>
      <sheetName val="Education"/>
      <sheetName val="Continuous Improvement"/>
      <sheetName val="Association Growth"/>
      <sheetName val="Budget Historical Chart"/>
      <sheetName val="Budget Historical Trend"/>
      <sheetName val="2008 Fees"/>
      <sheetName val="Budget Est 2006-7"/>
    </sheetNames>
    <sheetDataSet>
      <sheetData sheetId="0" refreshError="1"/>
      <sheetData sheetId="1" refreshError="1">
        <row r="11">
          <cell r="D11">
            <v>0</v>
          </cell>
        </row>
        <row r="23">
          <cell r="E23">
            <v>2500</v>
          </cell>
        </row>
        <row r="28">
          <cell r="E28">
            <v>14000</v>
          </cell>
        </row>
        <row r="31">
          <cell r="E31">
            <v>5000</v>
          </cell>
        </row>
        <row r="35">
          <cell r="E35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Operating costs"/>
      <sheetName val="Administration"/>
      <sheetName val="Sponsorships"/>
      <sheetName val="Membership Dues"/>
      <sheetName val="historic"/>
    </sheetNames>
    <sheetDataSet>
      <sheetData sheetId="0"/>
      <sheetData sheetId="1"/>
      <sheetData sheetId="2"/>
      <sheetData sheetId="3"/>
      <sheetData sheetId="4">
        <row r="3">
          <cell r="K3">
            <v>2007</v>
          </cell>
          <cell r="L3">
            <v>2008</v>
          </cell>
          <cell r="M3">
            <v>2009</v>
          </cell>
          <cell r="N3">
            <v>2010</v>
          </cell>
          <cell r="O3">
            <v>2011</v>
          </cell>
        </row>
        <row r="34">
          <cell r="A34" t="str">
            <v>Community Support</v>
          </cell>
          <cell r="K34">
            <v>38229.919999999991</v>
          </cell>
          <cell r="L34">
            <v>71379.37999999999</v>
          </cell>
          <cell r="M34">
            <v>113477.79</v>
          </cell>
          <cell r="N34">
            <v>135643.53999999998</v>
          </cell>
          <cell r="O34">
            <v>141290.46</v>
          </cell>
        </row>
        <row r="46">
          <cell r="A46" t="str">
            <v>Educational Support</v>
          </cell>
          <cell r="K46">
            <v>30251.43</v>
          </cell>
          <cell r="L46">
            <v>64191.43</v>
          </cell>
          <cell r="M46">
            <v>104167.76000000001</v>
          </cell>
          <cell r="N46">
            <v>135911.57</v>
          </cell>
          <cell r="O46">
            <v>160468.22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70"/>
  <sheetViews>
    <sheetView view="pageBreakPreview" zoomScale="65" zoomScaleNormal="50" zoomScaleSheetLayoutView="65" workbookViewId="0">
      <selection activeCell="K20" sqref="K20"/>
    </sheetView>
  </sheetViews>
  <sheetFormatPr defaultRowHeight="12.75"/>
  <cols>
    <col min="1" max="1" width="9.140625" style="273"/>
    <col min="2" max="2" width="89.85546875" style="273" customWidth="1"/>
    <col min="3" max="5" width="15.7109375" style="273" customWidth="1"/>
    <col min="6" max="6" width="13.5703125" style="333" bestFit="1" customWidth="1"/>
    <col min="7" max="16384" width="9.140625" style="273"/>
  </cols>
  <sheetData>
    <row r="1" spans="1:6" ht="33.75" customHeight="1">
      <c r="B1" s="395" t="s">
        <v>3</v>
      </c>
      <c r="C1" s="395"/>
      <c r="D1" s="395"/>
      <c r="E1" s="395"/>
      <c r="F1" s="395"/>
    </row>
    <row r="2" spans="1:6" ht="34.5" thickBot="1">
      <c r="B2" s="395"/>
      <c r="C2" s="395"/>
      <c r="D2" s="395"/>
      <c r="E2" s="395"/>
      <c r="F2" s="274"/>
    </row>
    <row r="3" spans="1:6" s="356" customFormat="1" ht="32.25" customHeight="1">
      <c r="A3" s="402" t="s">
        <v>0</v>
      </c>
      <c r="B3" s="403"/>
      <c r="C3" s="399">
        <v>2014</v>
      </c>
      <c r="D3" s="400"/>
      <c r="E3" s="401"/>
      <c r="F3" s="355"/>
    </row>
    <row r="4" spans="1:6" ht="25.5" customHeight="1" thickBot="1">
      <c r="A4" s="404"/>
      <c r="B4" s="405"/>
      <c r="C4" s="275" t="s">
        <v>2</v>
      </c>
      <c r="D4" s="276" t="s">
        <v>21</v>
      </c>
      <c r="E4" s="277" t="s">
        <v>22</v>
      </c>
      <c r="F4" s="278"/>
    </row>
    <row r="5" spans="1:6" ht="25.5" customHeight="1">
      <c r="A5" s="406" t="s">
        <v>40</v>
      </c>
      <c r="B5" s="280" t="s">
        <v>4</v>
      </c>
      <c r="C5" s="281">
        <f>Administration!F14</f>
        <v>23000</v>
      </c>
      <c r="D5" s="282"/>
      <c r="E5" s="283"/>
      <c r="F5" s="284"/>
    </row>
    <row r="6" spans="1:6" ht="25.5" customHeight="1">
      <c r="A6" s="407"/>
      <c r="B6" s="285" t="s">
        <v>5</v>
      </c>
      <c r="C6" s="286" t="s">
        <v>1</v>
      </c>
      <c r="D6" s="287">
        <v>2000</v>
      </c>
      <c r="E6" s="288"/>
      <c r="F6" s="284"/>
    </row>
    <row r="7" spans="1:6" ht="25.5" customHeight="1">
      <c r="A7" s="407"/>
      <c r="B7" s="285" t="s">
        <v>6</v>
      </c>
      <c r="C7" s="286" t="s">
        <v>1</v>
      </c>
      <c r="D7" s="287">
        <v>3500</v>
      </c>
      <c r="E7" s="288"/>
      <c r="F7" s="284"/>
    </row>
    <row r="8" spans="1:6" ht="25.5" customHeight="1">
      <c r="A8" s="407"/>
      <c r="B8" s="285" t="s">
        <v>7</v>
      </c>
      <c r="C8" s="286"/>
      <c r="D8" s="287">
        <v>300</v>
      </c>
      <c r="E8" s="288"/>
      <c r="F8" s="284"/>
    </row>
    <row r="9" spans="1:6" ht="25.5" customHeight="1">
      <c r="A9" s="407"/>
      <c r="B9" s="285" t="s">
        <v>27</v>
      </c>
      <c r="C9" s="286"/>
      <c r="D9" s="289">
        <v>600</v>
      </c>
      <c r="E9" s="288"/>
      <c r="F9" s="284"/>
    </row>
    <row r="10" spans="1:6" ht="25.5" customHeight="1">
      <c r="A10" s="407"/>
      <c r="B10" s="285" t="s">
        <v>101</v>
      </c>
      <c r="C10" s="286"/>
      <c r="D10" s="289">
        <v>1000</v>
      </c>
      <c r="E10" s="288"/>
      <c r="F10" s="284"/>
    </row>
    <row r="11" spans="1:6" ht="25.5" customHeight="1" thickBot="1">
      <c r="A11" s="407"/>
      <c r="B11" s="290" t="s">
        <v>60</v>
      </c>
      <c r="C11" s="291"/>
      <c r="D11" s="292">
        <v>0</v>
      </c>
      <c r="E11" s="293"/>
      <c r="F11" s="294"/>
    </row>
    <row r="12" spans="1:6" ht="25.5" customHeight="1" thickBot="1">
      <c r="A12" s="408"/>
      <c r="B12" s="295" t="s">
        <v>39</v>
      </c>
      <c r="C12" s="296">
        <f>SUM(C5:C11)</f>
        <v>23000</v>
      </c>
      <c r="D12" s="297">
        <f>SUM(D5:D11)</f>
        <v>7400</v>
      </c>
      <c r="E12" s="298">
        <f>SUM(E5:E11)</f>
        <v>0</v>
      </c>
      <c r="F12" s="299"/>
    </row>
    <row r="13" spans="1:6" ht="11.25" customHeight="1" thickBot="1">
      <c r="A13" s="409"/>
      <c r="B13" s="410"/>
      <c r="C13" s="410"/>
      <c r="D13" s="410"/>
      <c r="E13" s="411"/>
      <c r="F13" s="300"/>
    </row>
    <row r="14" spans="1:6" ht="25.5" customHeight="1">
      <c r="A14" s="407"/>
      <c r="B14" s="301" t="s">
        <v>71</v>
      </c>
      <c r="C14" s="281"/>
      <c r="D14" s="282">
        <v>1250</v>
      </c>
      <c r="E14" s="283"/>
      <c r="F14" s="294"/>
    </row>
    <row r="15" spans="1:6" ht="25.5" customHeight="1">
      <c r="A15" s="407"/>
      <c r="B15" s="285" t="s">
        <v>58</v>
      </c>
      <c r="C15" s="286"/>
      <c r="D15" s="287">
        <v>3000</v>
      </c>
      <c r="E15" s="288"/>
      <c r="F15" s="294"/>
    </row>
    <row r="16" spans="1:6" ht="25.5" customHeight="1">
      <c r="A16" s="407"/>
      <c r="B16" s="285" t="s">
        <v>30</v>
      </c>
      <c r="C16" s="286"/>
      <c r="D16" s="287">
        <v>1500</v>
      </c>
      <c r="E16" s="288"/>
      <c r="F16" s="294"/>
    </row>
    <row r="17" spans="1:6" ht="25.5" customHeight="1">
      <c r="A17" s="407"/>
      <c r="B17" s="285" t="s">
        <v>31</v>
      </c>
      <c r="C17" s="286"/>
      <c r="D17" s="287">
        <v>500</v>
      </c>
      <c r="E17" s="288"/>
      <c r="F17" s="294"/>
    </row>
    <row r="18" spans="1:6" ht="25.5" customHeight="1">
      <c r="A18" s="407"/>
      <c r="B18" s="285" t="s">
        <v>32</v>
      </c>
      <c r="C18" s="286"/>
      <c r="D18" s="385">
        <v>500</v>
      </c>
      <c r="E18" s="288"/>
      <c r="F18" s="294"/>
    </row>
    <row r="19" spans="1:6" ht="25.5" customHeight="1">
      <c r="A19" s="407"/>
      <c r="B19" s="285" t="s">
        <v>33</v>
      </c>
      <c r="C19" s="286"/>
      <c r="D19" s="385">
        <v>0</v>
      </c>
      <c r="E19" s="288"/>
      <c r="F19" s="294"/>
    </row>
    <row r="20" spans="1:6" ht="25.5" customHeight="1">
      <c r="A20" s="407"/>
      <c r="B20" s="285" t="s">
        <v>59</v>
      </c>
      <c r="C20" s="286"/>
      <c r="D20" s="287">
        <v>1000</v>
      </c>
      <c r="E20" s="288"/>
      <c r="F20" s="294"/>
    </row>
    <row r="21" spans="1:6" ht="25.5" customHeight="1">
      <c r="A21" s="407"/>
      <c r="B21" s="285" t="s">
        <v>69</v>
      </c>
      <c r="C21" s="286"/>
      <c r="D21" s="287">
        <v>0</v>
      </c>
      <c r="E21" s="288"/>
      <c r="F21" s="294"/>
    </row>
    <row r="22" spans="1:6" ht="25.5" customHeight="1">
      <c r="A22" s="407"/>
      <c r="B22" s="285" t="s">
        <v>70</v>
      </c>
      <c r="C22" s="286"/>
      <c r="D22" s="287">
        <v>500</v>
      </c>
      <c r="E22" s="288"/>
      <c r="F22" s="294"/>
    </row>
    <row r="23" spans="1:6" ht="25.5" customHeight="1">
      <c r="A23" s="407"/>
      <c r="B23" s="285" t="s">
        <v>34</v>
      </c>
      <c r="C23" s="286"/>
      <c r="D23" s="287"/>
      <c r="E23" s="288">
        <v>0</v>
      </c>
      <c r="F23" s="294"/>
    </row>
    <row r="24" spans="1:6" ht="25.5" customHeight="1">
      <c r="A24" s="407"/>
      <c r="B24" s="285" t="s">
        <v>35</v>
      </c>
      <c r="C24" s="286"/>
      <c r="D24" s="287">
        <v>5000</v>
      </c>
      <c r="E24" s="288">
        <v>0</v>
      </c>
      <c r="F24" s="294"/>
    </row>
    <row r="25" spans="1:6" ht="25.5" customHeight="1" thickBot="1">
      <c r="A25" s="407"/>
      <c r="B25" s="285" t="s">
        <v>36</v>
      </c>
      <c r="C25" s="291"/>
      <c r="D25" s="383">
        <v>0</v>
      </c>
      <c r="E25" s="384"/>
      <c r="F25" s="294"/>
    </row>
    <row r="26" spans="1:6" ht="25.5" customHeight="1" thickBot="1">
      <c r="A26" s="408"/>
      <c r="B26" s="295" t="s">
        <v>41</v>
      </c>
      <c r="C26" s="296">
        <f>SUM(C14:C25)</f>
        <v>0</v>
      </c>
      <c r="D26" s="297">
        <f>SUM(D14:D25)</f>
        <v>13250</v>
      </c>
      <c r="E26" s="298">
        <f>SUM(E14:E25)</f>
        <v>0</v>
      </c>
      <c r="F26" s="299"/>
    </row>
    <row r="27" spans="1:6" ht="12" customHeight="1" thickBot="1">
      <c r="A27" s="409"/>
      <c r="B27" s="410"/>
      <c r="C27" s="410"/>
      <c r="D27" s="410"/>
      <c r="E27" s="411"/>
      <c r="F27" s="300"/>
    </row>
    <row r="28" spans="1:6" ht="25.5" customHeight="1">
      <c r="A28" s="396" t="s">
        <v>38</v>
      </c>
      <c r="B28" s="285" t="s">
        <v>29</v>
      </c>
      <c r="C28" s="303"/>
      <c r="D28" s="304"/>
      <c r="E28" s="305"/>
      <c r="F28" s="306"/>
    </row>
    <row r="29" spans="1:6" ht="25.5" customHeight="1">
      <c r="A29" s="397"/>
      <c r="B29" s="285" t="s">
        <v>94</v>
      </c>
      <c r="C29" s="307"/>
      <c r="D29" s="308" t="s">
        <v>1</v>
      </c>
      <c r="E29" s="309"/>
      <c r="F29" s="284"/>
    </row>
    <row r="30" spans="1:6" ht="25.5" customHeight="1">
      <c r="A30" s="397"/>
      <c r="B30" s="285" t="s">
        <v>150</v>
      </c>
      <c r="C30" s="307"/>
      <c r="D30" s="308" t="s">
        <v>1</v>
      </c>
      <c r="E30" s="310">
        <f>Sponsorships!D22</f>
        <v>25000</v>
      </c>
      <c r="F30" s="294"/>
    </row>
    <row r="31" spans="1:6" ht="25.5" customHeight="1">
      <c r="A31" s="397"/>
      <c r="B31" s="285" t="s">
        <v>156</v>
      </c>
      <c r="C31" s="307"/>
      <c r="D31" s="308"/>
      <c r="E31" s="310"/>
      <c r="F31" s="294"/>
    </row>
    <row r="32" spans="1:6" ht="25.5" customHeight="1">
      <c r="A32" s="397"/>
      <c r="B32" s="285" t="s">
        <v>92</v>
      </c>
      <c r="C32" s="307"/>
      <c r="D32" s="308"/>
      <c r="E32" s="309">
        <v>1000</v>
      </c>
      <c r="F32" s="294"/>
    </row>
    <row r="33" spans="1:6" ht="25.5" customHeight="1" thickBot="1">
      <c r="A33" s="397"/>
      <c r="B33" s="290" t="s">
        <v>97</v>
      </c>
      <c r="C33" s="311"/>
      <c r="D33" s="312"/>
      <c r="E33" s="313">
        <v>1000</v>
      </c>
      <c r="F33" s="294"/>
    </row>
    <row r="34" spans="1:6" ht="25.5" customHeight="1" thickBot="1">
      <c r="A34" s="398"/>
      <c r="B34" s="295" t="s">
        <v>42</v>
      </c>
      <c r="C34" s="314">
        <f>SUM(C28:C33)</f>
        <v>0</v>
      </c>
      <c r="D34" s="315">
        <f>SUM(D28:D33)</f>
        <v>0</v>
      </c>
      <c r="E34" s="316">
        <f>SUM(E28:E33)</f>
        <v>27000</v>
      </c>
      <c r="F34" s="299"/>
    </row>
    <row r="35" spans="1:6" ht="12" customHeight="1" thickBot="1">
      <c r="A35" s="409"/>
      <c r="B35" s="410"/>
      <c r="C35" s="410"/>
      <c r="D35" s="410"/>
      <c r="E35" s="411"/>
      <c r="F35" s="300"/>
    </row>
    <row r="36" spans="1:6" ht="25.5" customHeight="1">
      <c r="A36" s="396" t="s">
        <v>43</v>
      </c>
      <c r="B36" s="301" t="s">
        <v>8</v>
      </c>
      <c r="C36" s="317"/>
      <c r="D36" s="318">
        <v>0</v>
      </c>
      <c r="E36" s="319">
        <v>0</v>
      </c>
      <c r="F36" s="294"/>
    </row>
    <row r="37" spans="1:6" ht="25.5" customHeight="1" thickBot="1">
      <c r="A37" s="397"/>
      <c r="B37" s="320" t="s">
        <v>1</v>
      </c>
      <c r="C37" s="311"/>
      <c r="D37" s="312" t="s">
        <v>1</v>
      </c>
      <c r="E37" s="313">
        <v>0</v>
      </c>
      <c r="F37" s="294"/>
    </row>
    <row r="38" spans="1:6" ht="25.5" customHeight="1" thickBot="1">
      <c r="A38" s="398"/>
      <c r="B38" s="295" t="s">
        <v>37</v>
      </c>
      <c r="C38" s="314">
        <f>SUM(C33:C37)</f>
        <v>0</v>
      </c>
      <c r="D38" s="315">
        <f>SUM(D33:D37)</f>
        <v>0</v>
      </c>
      <c r="E38" s="316">
        <f>SUM(E36:E37)</f>
        <v>0</v>
      </c>
      <c r="F38" s="299"/>
    </row>
    <row r="39" spans="1:6" s="321" customFormat="1" ht="33" customHeight="1" thickBot="1">
      <c r="B39" s="322" t="s">
        <v>9</v>
      </c>
      <c r="C39" s="323">
        <f>C34+C26+C12</f>
        <v>23000</v>
      </c>
      <c r="D39" s="324">
        <f>D34+D26+D12</f>
        <v>20650</v>
      </c>
      <c r="E39" s="325">
        <f>E34+E26+E12</f>
        <v>27000</v>
      </c>
      <c r="F39" s="326">
        <f>SUM(C39:E39)</f>
        <v>70650</v>
      </c>
    </row>
    <row r="40" spans="1:6" ht="36" customHeight="1">
      <c r="B40" s="279"/>
      <c r="C40" s="327"/>
      <c r="D40" s="327"/>
      <c r="E40" s="327"/>
      <c r="F40" s="273"/>
    </row>
    <row r="41" spans="1:6">
      <c r="B41" s="279"/>
      <c r="C41" s="327"/>
      <c r="D41" s="327"/>
      <c r="E41" s="327"/>
      <c r="F41" s="328"/>
    </row>
    <row r="42" spans="1:6">
      <c r="B42" s="279"/>
      <c r="C42" s="327"/>
      <c r="D42" s="327"/>
      <c r="E42" s="327"/>
      <c r="F42" s="328"/>
    </row>
    <row r="43" spans="1:6">
      <c r="C43" s="329"/>
      <c r="D43" s="329"/>
      <c r="E43" s="329"/>
      <c r="F43" s="330"/>
    </row>
    <row r="44" spans="1:6">
      <c r="C44" s="329"/>
      <c r="D44" s="329"/>
      <c r="E44" s="329"/>
      <c r="F44" s="330"/>
    </row>
    <row r="45" spans="1:6">
      <c r="C45" s="329"/>
      <c r="D45" s="329"/>
      <c r="E45" s="329"/>
      <c r="F45" s="330"/>
    </row>
    <row r="46" spans="1:6">
      <c r="C46" s="329"/>
      <c r="D46" s="329"/>
      <c r="E46" s="329"/>
      <c r="F46" s="330"/>
    </row>
    <row r="47" spans="1:6">
      <c r="C47" s="329"/>
      <c r="D47" s="329"/>
      <c r="E47" s="329"/>
      <c r="F47" s="330"/>
    </row>
    <row r="48" spans="1:6">
      <c r="C48" s="329"/>
      <c r="D48" s="329"/>
      <c r="E48" s="329"/>
      <c r="F48" s="330"/>
    </row>
    <row r="49" spans="3:6">
      <c r="C49" s="329"/>
      <c r="D49" s="329"/>
      <c r="E49" s="329"/>
      <c r="F49" s="330"/>
    </row>
    <row r="50" spans="3:6">
      <c r="C50" s="329"/>
      <c r="D50" s="329"/>
      <c r="E50" s="329"/>
      <c r="F50" s="330"/>
    </row>
    <row r="51" spans="3:6">
      <c r="C51" s="329"/>
      <c r="D51" s="329"/>
      <c r="E51" s="329"/>
      <c r="F51" s="330"/>
    </row>
    <row r="52" spans="3:6">
      <c r="C52" s="329"/>
      <c r="D52" s="329"/>
      <c r="E52" s="329"/>
      <c r="F52" s="330"/>
    </row>
    <row r="53" spans="3:6">
      <c r="C53" s="329"/>
      <c r="D53" s="329"/>
      <c r="E53" s="329"/>
      <c r="F53" s="330"/>
    </row>
    <row r="54" spans="3:6">
      <c r="C54" s="329"/>
      <c r="D54" s="329"/>
      <c r="E54" s="329"/>
      <c r="F54" s="330"/>
    </row>
    <row r="55" spans="3:6">
      <c r="C55" s="331"/>
      <c r="D55" s="331"/>
      <c r="E55" s="331"/>
      <c r="F55" s="332"/>
    </row>
    <row r="56" spans="3:6">
      <c r="C56" s="331"/>
      <c r="D56" s="331"/>
      <c r="E56" s="331"/>
      <c r="F56" s="332"/>
    </row>
    <row r="57" spans="3:6">
      <c r="C57" s="331"/>
      <c r="D57" s="331"/>
      <c r="E57" s="331"/>
      <c r="F57" s="332"/>
    </row>
    <row r="58" spans="3:6">
      <c r="C58" s="331"/>
      <c r="D58" s="331"/>
      <c r="E58" s="331"/>
      <c r="F58" s="332"/>
    </row>
    <row r="59" spans="3:6">
      <c r="C59" s="331"/>
      <c r="D59" s="331"/>
      <c r="E59" s="331"/>
      <c r="F59" s="332"/>
    </row>
    <row r="60" spans="3:6">
      <c r="C60" s="331"/>
      <c r="D60" s="331"/>
      <c r="E60" s="331"/>
      <c r="F60" s="332"/>
    </row>
    <row r="61" spans="3:6">
      <c r="C61" s="331"/>
      <c r="D61" s="331"/>
      <c r="E61" s="331"/>
      <c r="F61" s="332"/>
    </row>
    <row r="62" spans="3:6">
      <c r="C62" s="331"/>
      <c r="D62" s="331"/>
      <c r="E62" s="331"/>
      <c r="F62" s="332"/>
    </row>
    <row r="63" spans="3:6">
      <c r="C63" s="331"/>
      <c r="D63" s="331"/>
      <c r="E63" s="331"/>
      <c r="F63" s="332"/>
    </row>
    <row r="64" spans="3:6">
      <c r="C64" s="331"/>
      <c r="D64" s="331"/>
      <c r="E64" s="331"/>
      <c r="F64" s="332"/>
    </row>
    <row r="65" spans="3:6">
      <c r="C65" s="331"/>
      <c r="D65" s="331"/>
      <c r="E65" s="331"/>
      <c r="F65" s="332"/>
    </row>
    <row r="66" spans="3:6">
      <c r="C66" s="331"/>
      <c r="D66" s="331"/>
      <c r="E66" s="331"/>
      <c r="F66" s="332"/>
    </row>
    <row r="67" spans="3:6">
      <c r="C67" s="331"/>
      <c r="D67" s="331"/>
      <c r="E67" s="331"/>
      <c r="F67" s="332"/>
    </row>
    <row r="68" spans="3:6">
      <c r="C68" s="331"/>
      <c r="D68" s="331"/>
      <c r="E68" s="331"/>
      <c r="F68" s="332"/>
    </row>
    <row r="69" spans="3:6">
      <c r="C69" s="331"/>
      <c r="D69" s="331"/>
      <c r="E69" s="331"/>
      <c r="F69" s="332"/>
    </row>
    <row r="70" spans="3:6">
      <c r="C70" s="331"/>
      <c r="D70" s="331"/>
      <c r="E70" s="331"/>
      <c r="F70" s="332"/>
    </row>
  </sheetData>
  <sheetProtection formatCells="0" formatColumns="0" formatRows="0" insertColumns="0" insertRows="0" insertHyperlinks="0" deleteColumns="0" deleteRows="0" sort="0" autoFilter="0" pivotTables="0"/>
  <mergeCells count="11">
    <mergeCell ref="B1:F1"/>
    <mergeCell ref="B2:E2"/>
    <mergeCell ref="A36:A38"/>
    <mergeCell ref="C3:E3"/>
    <mergeCell ref="A3:B4"/>
    <mergeCell ref="A5:A12"/>
    <mergeCell ref="A28:A34"/>
    <mergeCell ref="A27:E27"/>
    <mergeCell ref="A13:E13"/>
    <mergeCell ref="A14:A26"/>
    <mergeCell ref="A35:E35"/>
  </mergeCells>
  <phoneticPr fontId="0" type="noConversion"/>
  <pageMargins left="0.5" right="0.5" top="0.95" bottom="0.5" header="0" footer="0.25"/>
  <pageSetup paperSize="17" scale="51" orientation="landscape" r:id="rId1"/>
  <headerFooter alignWithMargins="0">
    <oddFooter>&amp;RHIEA 2009 Business Plan - Draft
&amp;D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4"/>
  <sheetViews>
    <sheetView view="pageBreakPreview" zoomScale="75" zoomScaleNormal="75" zoomScaleSheetLayoutView="75" workbookViewId="0">
      <selection activeCell="B11" sqref="B11"/>
    </sheetView>
  </sheetViews>
  <sheetFormatPr defaultRowHeight="12.75"/>
  <cols>
    <col min="1" max="1" width="9.140625" style="273"/>
    <col min="2" max="2" width="95.5703125" style="273" customWidth="1"/>
    <col min="3" max="6" width="12.7109375" style="273" customWidth="1"/>
    <col min="7" max="7" width="6.42578125" style="352" customWidth="1"/>
    <col min="8" max="11" width="12.7109375" style="273" customWidth="1"/>
    <col min="12" max="16384" width="9.140625" style="273"/>
  </cols>
  <sheetData>
    <row r="1" spans="1:11" ht="34.5" customHeight="1">
      <c r="B1" s="395" t="s">
        <v>49</v>
      </c>
      <c r="C1" s="395"/>
      <c r="D1" s="395"/>
      <c r="E1" s="395"/>
      <c r="F1" s="274"/>
      <c r="G1" s="334"/>
    </row>
    <row r="2" spans="1:11" ht="34.5" customHeight="1" thickBot="1">
      <c r="C2" s="415"/>
      <c r="D2" s="415"/>
      <c r="E2" s="415"/>
      <c r="F2" s="335"/>
      <c r="G2" s="335"/>
      <c r="H2" s="415"/>
      <c r="I2" s="415"/>
      <c r="J2" s="415"/>
    </row>
    <row r="3" spans="1:11" ht="31.5" customHeight="1" thickBot="1">
      <c r="A3" s="402" t="s">
        <v>47</v>
      </c>
      <c r="B3" s="403"/>
      <c r="C3" s="412">
        <v>2014</v>
      </c>
      <c r="D3" s="413"/>
      <c r="E3" s="414"/>
      <c r="F3" s="355"/>
      <c r="G3" s="355"/>
      <c r="H3" s="412">
        <v>2013</v>
      </c>
      <c r="I3" s="413"/>
      <c r="J3" s="414"/>
    </row>
    <row r="4" spans="1:11" ht="25.5" customHeight="1" thickBot="1">
      <c r="A4" s="404"/>
      <c r="B4" s="405"/>
      <c r="C4" s="275" t="s">
        <v>44</v>
      </c>
      <c r="D4" s="276" t="s">
        <v>46</v>
      </c>
      <c r="E4" s="277" t="s">
        <v>45</v>
      </c>
      <c r="F4" s="278"/>
      <c r="G4" s="278"/>
      <c r="H4" s="275" t="s">
        <v>44</v>
      </c>
      <c r="I4" s="276" t="s">
        <v>46</v>
      </c>
      <c r="J4" s="277" t="s">
        <v>45</v>
      </c>
    </row>
    <row r="5" spans="1:11" ht="25.5" customHeight="1">
      <c r="A5" s="416" t="s">
        <v>40</v>
      </c>
      <c r="B5" s="336" t="s">
        <v>154</v>
      </c>
      <c r="C5" s="281">
        <v>20180</v>
      </c>
      <c r="D5" s="282"/>
      <c r="E5" s="283"/>
      <c r="F5" s="337"/>
      <c r="G5" s="337"/>
      <c r="H5" s="281">
        <v>18720</v>
      </c>
      <c r="I5" s="282"/>
      <c r="J5" s="283"/>
    </row>
    <row r="6" spans="1:11" ht="25.5" customHeight="1">
      <c r="A6" s="417"/>
      <c r="B6" s="338" t="s">
        <v>48</v>
      </c>
      <c r="C6" s="286" t="s">
        <v>1</v>
      </c>
      <c r="D6" s="287">
        <v>1500</v>
      </c>
      <c r="E6" s="288"/>
      <c r="F6" s="337"/>
      <c r="G6" s="337"/>
      <c r="H6" s="286" t="s">
        <v>1</v>
      </c>
      <c r="I6" s="287">
        <v>1500</v>
      </c>
      <c r="J6" s="288"/>
    </row>
    <row r="7" spans="1:11" ht="25.5" customHeight="1">
      <c r="A7" s="417"/>
      <c r="B7" s="338" t="s">
        <v>98</v>
      </c>
      <c r="C7" s="286" t="s">
        <v>1</v>
      </c>
      <c r="D7" s="287"/>
      <c r="E7" s="288">
        <v>1320</v>
      </c>
      <c r="F7" s="337"/>
      <c r="G7" s="337"/>
      <c r="H7" s="286" t="s">
        <v>1</v>
      </c>
      <c r="I7" s="287"/>
      <c r="J7" s="288">
        <v>1320</v>
      </c>
    </row>
    <row r="8" spans="1:11" ht="25.5" customHeight="1">
      <c r="A8" s="417"/>
      <c r="B8" s="338"/>
      <c r="C8" s="286"/>
      <c r="D8" s="287"/>
      <c r="E8" s="288"/>
      <c r="F8" s="337"/>
      <c r="G8" s="337"/>
      <c r="H8" s="286"/>
      <c r="I8" s="287"/>
      <c r="J8" s="288"/>
    </row>
    <row r="9" spans="1:11" ht="25.5" customHeight="1">
      <c r="A9" s="417"/>
      <c r="B9" s="338" t="s">
        <v>99</v>
      </c>
      <c r="C9" s="286">
        <v>0</v>
      </c>
      <c r="D9" s="289"/>
      <c r="E9" s="339"/>
      <c r="F9" s="337"/>
      <c r="G9" s="337"/>
      <c r="H9" s="286">
        <v>0</v>
      </c>
      <c r="I9" s="289"/>
      <c r="J9" s="339"/>
    </row>
    <row r="10" spans="1:11" ht="25.5" customHeight="1">
      <c r="A10" s="417"/>
      <c r="B10" s="338" t="s">
        <v>50</v>
      </c>
      <c r="C10" s="286"/>
      <c r="D10" s="289">
        <v>0</v>
      </c>
      <c r="E10" s="339"/>
      <c r="F10" s="337"/>
      <c r="G10" s="337"/>
      <c r="H10" s="286"/>
      <c r="I10" s="289">
        <v>0</v>
      </c>
      <c r="J10" s="339"/>
    </row>
    <row r="11" spans="1:11" ht="25.5" customHeight="1">
      <c r="A11" s="417"/>
      <c r="B11" s="340" t="s">
        <v>100</v>
      </c>
      <c r="C11" s="341"/>
      <c r="D11" s="342"/>
      <c r="E11" s="343">
        <v>0</v>
      </c>
      <c r="F11" s="344"/>
      <c r="G11" s="344"/>
      <c r="H11" s="341"/>
      <c r="I11" s="342"/>
      <c r="J11" s="343">
        <v>0</v>
      </c>
    </row>
    <row r="12" spans="1:11" ht="25.5" customHeight="1">
      <c r="A12" s="417"/>
      <c r="B12" s="338"/>
      <c r="C12" s="286"/>
      <c r="D12" s="302"/>
      <c r="E12" s="345"/>
      <c r="F12" s="346"/>
      <c r="G12" s="346"/>
      <c r="H12" s="286"/>
      <c r="I12" s="302"/>
      <c r="J12" s="345"/>
    </row>
    <row r="13" spans="1:11" ht="25.5" customHeight="1" thickBot="1">
      <c r="A13" s="417"/>
      <c r="B13" s="347"/>
      <c r="C13" s="348"/>
      <c r="D13" s="349"/>
      <c r="E13" s="350"/>
      <c r="F13" s="346"/>
      <c r="G13" s="346"/>
      <c r="H13" s="348"/>
      <c r="I13" s="349"/>
      <c r="J13" s="350"/>
    </row>
    <row r="14" spans="1:11" ht="25.5" customHeight="1" thickBot="1">
      <c r="A14" s="408"/>
      <c r="B14" s="295" t="s">
        <v>39</v>
      </c>
      <c r="C14" s="296">
        <f>SUM(C5:C13)</f>
        <v>20180</v>
      </c>
      <c r="D14" s="297">
        <f>SUM(D5:D11)</f>
        <v>1500</v>
      </c>
      <c r="E14" s="298">
        <f>SUM(E5:E11)</f>
        <v>1320</v>
      </c>
      <c r="F14" s="353">
        <f>SUM(C14:E14)</f>
        <v>23000</v>
      </c>
      <c r="G14" s="351"/>
      <c r="H14" s="296">
        <f>SUM(H5:H13)</f>
        <v>18720</v>
      </c>
      <c r="I14" s="297">
        <f>SUM(I5:I11)</f>
        <v>1500</v>
      </c>
      <c r="J14" s="298">
        <f>SUM(J5:J11)</f>
        <v>1320</v>
      </c>
      <c r="K14" s="354">
        <f>SUM(H14:J14)</f>
        <v>21540</v>
      </c>
    </row>
  </sheetData>
  <mergeCells count="7">
    <mergeCell ref="H3:J3"/>
    <mergeCell ref="H2:J2"/>
    <mergeCell ref="C2:E2"/>
    <mergeCell ref="A5:A14"/>
    <mergeCell ref="B1:E1"/>
    <mergeCell ref="A3:B4"/>
    <mergeCell ref="C3:E3"/>
  </mergeCells>
  <phoneticPr fontId="0" type="noConversion"/>
  <pageMargins left="0.5" right="1.92" top="0.95" bottom="0.5" header="0" footer="0.25"/>
  <pageSetup scale="52" orientation="landscape" r:id="rId1"/>
  <headerFooter alignWithMargins="0">
    <oddFooter>&amp;RBusiness Plan HIEA 2009 - Draft
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D25"/>
  <sheetViews>
    <sheetView view="pageBreakPreview" zoomScale="75" zoomScaleNormal="50" zoomScaleSheetLayoutView="75" workbookViewId="0">
      <selection activeCell="G22" sqref="G22"/>
    </sheetView>
  </sheetViews>
  <sheetFormatPr defaultRowHeight="12.75"/>
  <cols>
    <col min="1" max="1" width="9.140625" style="273"/>
    <col min="2" max="2" width="95" style="273" customWidth="1"/>
    <col min="3" max="3" width="18.7109375" style="273" customWidth="1"/>
    <col min="4" max="4" width="18.7109375" style="382" customWidth="1"/>
    <col min="5" max="16384" width="9.140625" style="273"/>
  </cols>
  <sheetData>
    <row r="1" spans="1:4" ht="33.75">
      <c r="A1" s="395" t="s">
        <v>90</v>
      </c>
      <c r="B1" s="395"/>
      <c r="C1" s="395"/>
      <c r="D1" s="395"/>
    </row>
    <row r="2" spans="1:4" ht="34.5" thickBot="1">
      <c r="B2" s="274"/>
      <c r="C2" s="367"/>
      <c r="D2" s="370"/>
    </row>
    <row r="3" spans="1:4" s="356" customFormat="1" ht="31.5" customHeight="1">
      <c r="A3" s="402" t="s">
        <v>47</v>
      </c>
      <c r="B3" s="403"/>
      <c r="C3" s="402">
        <v>2014</v>
      </c>
      <c r="D3" s="403"/>
    </row>
    <row r="4" spans="1:4" s="356" customFormat="1" ht="25.5" customHeight="1" thickBot="1">
      <c r="A4" s="404"/>
      <c r="B4" s="405"/>
      <c r="C4" s="404"/>
      <c r="D4" s="405"/>
    </row>
    <row r="5" spans="1:4" s="356" customFormat="1" ht="37.5" customHeight="1">
      <c r="A5" s="368"/>
      <c r="B5" s="369"/>
      <c r="C5" s="418" t="s">
        <v>161</v>
      </c>
      <c r="D5" s="419"/>
    </row>
    <row r="6" spans="1:4" ht="25.5" customHeight="1">
      <c r="A6" s="407"/>
      <c r="B6" s="357" t="s">
        <v>29</v>
      </c>
      <c r="C6" s="387">
        <v>0</v>
      </c>
      <c r="D6" s="371"/>
    </row>
    <row r="7" spans="1:4" ht="25.5" customHeight="1" thickBot="1">
      <c r="A7" s="407"/>
      <c r="B7" s="357" t="s">
        <v>82</v>
      </c>
      <c r="C7" s="388">
        <v>0</v>
      </c>
      <c r="D7" s="371"/>
    </row>
    <row r="8" spans="1:4" ht="25.5" customHeight="1" thickBot="1">
      <c r="A8" s="408"/>
      <c r="B8" s="295" t="s">
        <v>55</v>
      </c>
      <c r="C8" s="386"/>
      <c r="D8" s="372"/>
    </row>
    <row r="9" spans="1:4" ht="12" customHeight="1" thickBot="1">
      <c r="A9" s="409"/>
      <c r="B9" s="410"/>
      <c r="C9" s="410"/>
      <c r="D9" s="410"/>
    </row>
    <row r="10" spans="1:4" ht="25.5" customHeight="1" thickBot="1">
      <c r="A10" s="358"/>
      <c r="B10" s="357" t="s">
        <v>35</v>
      </c>
      <c r="C10" s="359"/>
      <c r="D10" s="373">
        <v>5000</v>
      </c>
    </row>
    <row r="11" spans="1:4" ht="12" customHeight="1" thickBot="1">
      <c r="A11" s="409"/>
      <c r="B11" s="410"/>
      <c r="C11" s="410"/>
      <c r="D11" s="410"/>
    </row>
    <row r="12" spans="1:4" ht="25.5" customHeight="1">
      <c r="A12" s="396" t="s">
        <v>54</v>
      </c>
      <c r="B12" s="360" t="s">
        <v>67</v>
      </c>
      <c r="C12" s="389">
        <v>1500</v>
      </c>
      <c r="D12" s="374"/>
    </row>
    <row r="13" spans="1:4" ht="25.5" customHeight="1">
      <c r="A13" s="397"/>
      <c r="B13" s="361" t="s">
        <v>160</v>
      </c>
      <c r="C13" s="390">
        <v>3500</v>
      </c>
      <c r="D13" s="375"/>
    </row>
    <row r="14" spans="1:4" ht="25.5" customHeight="1">
      <c r="A14" s="397"/>
      <c r="B14" s="362" t="s">
        <v>65</v>
      </c>
      <c r="C14" s="391"/>
      <c r="D14" s="376"/>
    </row>
    <row r="15" spans="1:4" ht="25.5" customHeight="1">
      <c r="A15" s="397"/>
      <c r="B15" s="362" t="s">
        <v>91</v>
      </c>
      <c r="C15" s="391">
        <v>5000</v>
      </c>
      <c r="D15" s="376"/>
    </row>
    <row r="16" spans="1:4" ht="25.5" customHeight="1">
      <c r="A16" s="397"/>
      <c r="B16" s="363" t="s">
        <v>68</v>
      </c>
      <c r="C16" s="392"/>
      <c r="D16" s="377"/>
    </row>
    <row r="17" spans="1:4" ht="25.5" customHeight="1">
      <c r="A17" s="397"/>
      <c r="B17" s="362" t="s">
        <v>83</v>
      </c>
      <c r="C17" s="391"/>
      <c r="D17" s="376"/>
    </row>
    <row r="18" spans="1:4" ht="25.5" customHeight="1">
      <c r="A18" s="397"/>
      <c r="B18" s="362" t="s">
        <v>162</v>
      </c>
      <c r="C18" s="391">
        <v>5000</v>
      </c>
      <c r="D18" s="376"/>
    </row>
    <row r="19" spans="1:4" ht="25.5" customHeight="1" thickBot="1">
      <c r="A19" s="397"/>
      <c r="B19" s="364" t="s">
        <v>140</v>
      </c>
      <c r="C19" s="393">
        <v>5000</v>
      </c>
      <c r="D19" s="378"/>
    </row>
    <row r="20" spans="1:4" ht="25.5" customHeight="1" thickBot="1">
      <c r="A20" s="398"/>
      <c r="B20" s="295" t="s">
        <v>56</v>
      </c>
      <c r="C20" s="394">
        <f>SUM(C12:C19)</f>
        <v>20000</v>
      </c>
      <c r="D20" s="372"/>
    </row>
    <row r="21" spans="1:4" ht="12" customHeight="1" thickBot="1">
      <c r="A21" s="409"/>
      <c r="B21" s="410"/>
      <c r="C21" s="410"/>
      <c r="D21" s="410"/>
    </row>
    <row r="22" spans="1:4" s="321" customFormat="1" ht="33" customHeight="1" thickBot="1">
      <c r="A22" s="365"/>
      <c r="B22" s="322" t="s">
        <v>151</v>
      </c>
      <c r="C22" s="322"/>
      <c r="D22" s="379">
        <v>25000</v>
      </c>
    </row>
    <row r="23" spans="1:4" ht="32.25" customHeight="1">
      <c r="A23" s="352"/>
      <c r="B23" s="366"/>
      <c r="C23" s="366"/>
      <c r="D23" s="380"/>
    </row>
    <row r="24" spans="1:4">
      <c r="B24" s="279"/>
      <c r="C24" s="279"/>
      <c r="D24" s="381"/>
    </row>
    <row r="25" spans="1:4">
      <c r="B25" s="279"/>
      <c r="C25" s="279"/>
      <c r="D25" s="381"/>
    </row>
  </sheetData>
  <mergeCells count="9">
    <mergeCell ref="A1:D1"/>
    <mergeCell ref="A6:A8"/>
    <mergeCell ref="A11:D11"/>
    <mergeCell ref="A21:D21"/>
    <mergeCell ref="A3:B4"/>
    <mergeCell ref="A12:A20"/>
    <mergeCell ref="A9:D9"/>
    <mergeCell ref="C3:D4"/>
    <mergeCell ref="C5:D5"/>
  </mergeCells>
  <phoneticPr fontId="0" type="noConversion"/>
  <pageMargins left="0.75" right="0.75" top="1" bottom="1" header="0.5" footer="0.5"/>
  <pageSetup scale="66" orientation="landscape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2:O44"/>
  <sheetViews>
    <sheetView view="pageBreakPreview" topLeftCell="A6" zoomScaleSheetLayoutView="100" workbookViewId="0">
      <selection activeCell="A25" sqref="A25"/>
    </sheetView>
  </sheetViews>
  <sheetFormatPr defaultRowHeight="12.75"/>
  <cols>
    <col min="1" max="1" width="24.28515625" style="1" bestFit="1" customWidth="1"/>
    <col min="2" max="2" width="9.28515625" style="1" bestFit="1" customWidth="1"/>
    <col min="3" max="3" width="12.28515625" style="1" bestFit="1" customWidth="1"/>
    <col min="4" max="5" width="11.5703125" style="1" bestFit="1" customWidth="1"/>
    <col min="6" max="6" width="13.42578125" style="1" customWidth="1"/>
    <col min="7" max="7" width="11.85546875" style="1" bestFit="1" customWidth="1"/>
    <col min="8" max="12" width="12.7109375" style="1" customWidth="1"/>
    <col min="13" max="13" width="3.7109375" style="1" customWidth="1"/>
    <col min="14" max="14" width="10.28515625" style="1" bestFit="1" customWidth="1"/>
    <col min="15" max="16384" width="9.140625" style="1"/>
  </cols>
  <sheetData>
    <row r="2" spans="1:15">
      <c r="I2" s="103"/>
      <c r="J2" s="104" t="s">
        <v>85</v>
      </c>
      <c r="K2" s="105"/>
      <c r="L2" s="32"/>
    </row>
    <row r="3" spans="1:15">
      <c r="A3" s="3" t="s">
        <v>81</v>
      </c>
      <c r="B3" s="4"/>
      <c r="C3" s="2"/>
      <c r="D3" s="2"/>
      <c r="E3" s="2"/>
      <c r="F3" s="5"/>
      <c r="G3" s="5"/>
      <c r="I3" s="106"/>
      <c r="J3" s="115" t="s">
        <v>26</v>
      </c>
      <c r="K3" s="107">
        <f>'Operating costs'!F39</f>
        <v>70650</v>
      </c>
      <c r="L3" s="65"/>
      <c r="M3" s="6"/>
    </row>
    <row r="4" spans="1:15">
      <c r="A4" s="3"/>
      <c r="B4" s="4"/>
      <c r="C4" s="2"/>
      <c r="D4" s="2"/>
      <c r="E4" s="2"/>
      <c r="F4" s="5"/>
      <c r="G4" s="5"/>
      <c r="I4" s="108"/>
      <c r="J4" s="116" t="s">
        <v>89</v>
      </c>
      <c r="K4" s="109">
        <v>-1500</v>
      </c>
      <c r="L4" s="65"/>
      <c r="M4" s="6"/>
    </row>
    <row r="5" spans="1:15" ht="15">
      <c r="A5" s="7"/>
      <c r="B5" s="4"/>
      <c r="C5" s="2"/>
      <c r="D5" s="2"/>
      <c r="E5" s="2"/>
      <c r="F5" s="5"/>
      <c r="G5" s="5"/>
      <c r="I5" s="110"/>
      <c r="J5" s="117" t="s">
        <v>23</v>
      </c>
      <c r="K5" s="111">
        <v>-15000</v>
      </c>
      <c r="L5" s="59"/>
      <c r="M5" s="6"/>
    </row>
    <row r="6" spans="1:15">
      <c r="A6" s="7"/>
      <c r="B6" s="4"/>
      <c r="C6" s="2"/>
      <c r="D6" s="2"/>
      <c r="E6" s="2"/>
      <c r="F6" s="5"/>
      <c r="G6" s="5"/>
      <c r="H6" s="5"/>
      <c r="I6" s="112"/>
      <c r="J6" s="118" t="s">
        <v>93</v>
      </c>
      <c r="K6" s="113">
        <f>K3+K4+K5</f>
        <v>54150</v>
      </c>
      <c r="L6" s="8"/>
      <c r="M6" s="9"/>
    </row>
    <row r="7" spans="1:15" ht="13.5" thickBot="1">
      <c r="A7" s="7"/>
      <c r="B7" s="4"/>
      <c r="C7" s="2"/>
      <c r="D7" s="2"/>
      <c r="E7" s="2"/>
      <c r="F7" s="5"/>
      <c r="G7" s="5"/>
      <c r="H7" s="5"/>
      <c r="I7" s="5"/>
      <c r="J7" s="5"/>
      <c r="K7" s="10"/>
      <c r="L7" s="10"/>
      <c r="M7" s="5"/>
    </row>
    <row r="8" spans="1:15" ht="12.75" customHeight="1">
      <c r="A8" s="11"/>
      <c r="B8" s="12"/>
      <c r="C8" s="13" t="s">
        <v>10</v>
      </c>
      <c r="D8" s="14" t="s">
        <v>11</v>
      </c>
      <c r="E8" s="15" t="s">
        <v>12</v>
      </c>
      <c r="F8" s="16" t="s">
        <v>13</v>
      </c>
      <c r="G8" s="17" t="s">
        <v>14</v>
      </c>
      <c r="H8" s="420" t="s">
        <v>57</v>
      </c>
      <c r="I8" s="424" t="s">
        <v>84</v>
      </c>
      <c r="J8" s="424" t="s">
        <v>159</v>
      </c>
      <c r="K8" s="75" t="s">
        <v>24</v>
      </c>
      <c r="L8" s="422" t="s">
        <v>13</v>
      </c>
      <c r="M8" s="4"/>
      <c r="N8" s="102" t="s">
        <v>88</v>
      </c>
      <c r="O8" s="94"/>
    </row>
    <row r="9" spans="1:15" ht="13.5" thickBot="1">
      <c r="A9" s="18"/>
      <c r="B9" s="19" t="s">
        <v>15</v>
      </c>
      <c r="C9" s="20" t="s">
        <v>16</v>
      </c>
      <c r="D9" s="21" t="s">
        <v>17</v>
      </c>
      <c r="E9" s="22" t="s">
        <v>17</v>
      </c>
      <c r="F9" s="23" t="s">
        <v>17</v>
      </c>
      <c r="G9" s="24"/>
      <c r="H9" s="421"/>
      <c r="I9" s="425"/>
      <c r="J9" s="425"/>
      <c r="K9" s="114">
        <v>0.13</v>
      </c>
      <c r="L9" s="423"/>
      <c r="M9" s="4"/>
      <c r="N9" s="95"/>
      <c r="O9" s="96"/>
    </row>
    <row r="10" spans="1:15">
      <c r="A10" s="76" t="s">
        <v>18</v>
      </c>
      <c r="B10" s="126">
        <v>34</v>
      </c>
      <c r="C10" s="127">
        <v>216015</v>
      </c>
      <c r="D10" s="50">
        <v>1</v>
      </c>
      <c r="E10" s="50">
        <v>2</v>
      </c>
      <c r="F10" s="51">
        <f t="shared" ref="F10:F18" si="0">E10+D10</f>
        <v>3</v>
      </c>
      <c r="G10" s="66">
        <f>+H10/$H$26</f>
        <v>4.2986553432413303E-2</v>
      </c>
      <c r="H10" s="69">
        <f>ROUND(F10/F$26*(K$3-SUM($H$21:$H$22)),0)</f>
        <v>3037</v>
      </c>
      <c r="I10" s="119">
        <f>-ROUND(H10*(1-$K$6/$K$3),0)</f>
        <v>-709</v>
      </c>
      <c r="J10" s="120">
        <f>SUM(H10:I10)</f>
        <v>2328</v>
      </c>
      <c r="K10" s="87">
        <f>J10*K$9</f>
        <v>302.64</v>
      </c>
      <c r="L10" s="83">
        <f>J10+K10</f>
        <v>2630.64</v>
      </c>
      <c r="M10" s="2"/>
      <c r="N10" s="97">
        <f t="shared" ref="N10:N19" si="1">H10*$K$6/$K$3</f>
        <v>2327.7218683651804</v>
      </c>
      <c r="O10" s="98">
        <f>J10-N10</f>
        <v>0.27813163481960146</v>
      </c>
    </row>
    <row r="11" spans="1:15">
      <c r="A11" s="77" t="s">
        <v>19</v>
      </c>
      <c r="B11" s="80">
        <v>122</v>
      </c>
      <c r="C11" s="56">
        <v>752400</v>
      </c>
      <c r="D11" s="52">
        <v>3</v>
      </c>
      <c r="E11" s="52">
        <v>3</v>
      </c>
      <c r="F11" s="53">
        <f t="shared" si="0"/>
        <v>6</v>
      </c>
      <c r="G11" s="25">
        <f t="shared" ref="G11:G19" si="2">+H11/$H$26</f>
        <v>8.598726114649681E-2</v>
      </c>
      <c r="H11" s="67">
        <f t="shared" ref="H11:H19" si="3">ROUND(F11/F$26*(K$3-SUM($H$21:$H$22)),0)</f>
        <v>6075</v>
      </c>
      <c r="I11" s="121">
        <f>-ROUND(H11*(1-$K$6/$K$3),0)</f>
        <v>-1419</v>
      </c>
      <c r="J11" s="122">
        <f t="shared" ref="J11:J22" si="4">SUM(H11:I11)</f>
        <v>4656</v>
      </c>
      <c r="K11" s="86">
        <f t="shared" ref="K11:K22" si="5">J11*K$9</f>
        <v>605.28</v>
      </c>
      <c r="L11" s="83">
        <f t="shared" ref="L11:L22" si="6">J11+K11</f>
        <v>5261.28</v>
      </c>
      <c r="M11" s="2"/>
      <c r="N11" s="97">
        <f t="shared" si="1"/>
        <v>4656.2101910828023</v>
      </c>
      <c r="O11" s="98">
        <f t="shared" ref="O11:O22" si="7">J11-N11</f>
        <v>-0.21019108280233922</v>
      </c>
    </row>
    <row r="12" spans="1:15">
      <c r="A12" s="77" t="s">
        <v>20</v>
      </c>
      <c r="B12" s="128">
        <v>105</v>
      </c>
      <c r="C12" s="129">
        <v>249170</v>
      </c>
      <c r="D12" s="52">
        <v>2</v>
      </c>
      <c r="E12" s="52">
        <v>2</v>
      </c>
      <c r="F12" s="53">
        <f t="shared" si="0"/>
        <v>4</v>
      </c>
      <c r="G12" s="25">
        <f t="shared" si="2"/>
        <v>5.7324840764331211E-2</v>
      </c>
      <c r="H12" s="67">
        <f t="shared" si="3"/>
        <v>4050</v>
      </c>
      <c r="I12" s="121">
        <f t="shared" ref="I12:I19" si="8">-ROUND(H12*(1-$K$6/$K$3),0)</f>
        <v>-946</v>
      </c>
      <c r="J12" s="122">
        <f t="shared" si="4"/>
        <v>3104</v>
      </c>
      <c r="K12" s="86">
        <f t="shared" si="5"/>
        <v>403.52000000000004</v>
      </c>
      <c r="L12" s="83">
        <f t="shared" si="6"/>
        <v>3507.52</v>
      </c>
      <c r="M12" s="2"/>
      <c r="N12" s="97">
        <f t="shared" si="1"/>
        <v>3104.1401273885349</v>
      </c>
      <c r="O12" s="98">
        <f t="shared" si="7"/>
        <v>-0.14012738853489282</v>
      </c>
    </row>
    <row r="13" spans="1:15">
      <c r="A13" s="77" t="s">
        <v>95</v>
      </c>
      <c r="B13" s="128">
        <v>5050</v>
      </c>
      <c r="C13" s="129">
        <v>13677379</v>
      </c>
      <c r="D13" s="52">
        <f>(B13-500)/500+3</f>
        <v>12.1</v>
      </c>
      <c r="E13" s="52">
        <f>(C13-2500000)/2500000+3</f>
        <v>7.4709516000000002</v>
      </c>
      <c r="F13" s="53">
        <f t="shared" si="0"/>
        <v>19.570951600000001</v>
      </c>
      <c r="G13" s="25">
        <f t="shared" si="2"/>
        <v>0.28045293701344659</v>
      </c>
      <c r="H13" s="67">
        <f t="shared" si="3"/>
        <v>19814</v>
      </c>
      <c r="I13" s="121">
        <f t="shared" si="8"/>
        <v>-4627</v>
      </c>
      <c r="J13" s="122">
        <f t="shared" si="4"/>
        <v>15187</v>
      </c>
      <c r="K13" s="86">
        <f t="shared" si="5"/>
        <v>1974.3100000000002</v>
      </c>
      <c r="L13" s="83">
        <f t="shared" si="6"/>
        <v>17161.310000000001</v>
      </c>
      <c r="M13" s="2"/>
      <c r="N13" s="97">
        <f t="shared" si="1"/>
        <v>15186.526539278131</v>
      </c>
      <c r="O13" s="98">
        <f t="shared" si="7"/>
        <v>0.47346072186883248</v>
      </c>
    </row>
    <row r="14" spans="1:15">
      <c r="A14" s="77" t="s">
        <v>52</v>
      </c>
      <c r="B14" s="81">
        <v>25</v>
      </c>
      <c r="C14" s="57">
        <v>79260</v>
      </c>
      <c r="D14" s="52">
        <v>1</v>
      </c>
      <c r="E14" s="52">
        <v>2</v>
      </c>
      <c r="F14" s="53">
        <f t="shared" si="0"/>
        <v>3</v>
      </c>
      <c r="G14" s="25">
        <f t="shared" si="2"/>
        <v>4.2986553432413303E-2</v>
      </c>
      <c r="H14" s="67">
        <f t="shared" si="3"/>
        <v>3037</v>
      </c>
      <c r="I14" s="121">
        <f t="shared" si="8"/>
        <v>-709</v>
      </c>
      <c r="J14" s="122">
        <f t="shared" si="4"/>
        <v>2328</v>
      </c>
      <c r="K14" s="86">
        <f t="shared" si="5"/>
        <v>302.64</v>
      </c>
      <c r="L14" s="83">
        <f t="shared" si="6"/>
        <v>2630.64</v>
      </c>
      <c r="M14" s="2"/>
      <c r="N14" s="97">
        <f t="shared" si="1"/>
        <v>2327.7218683651804</v>
      </c>
      <c r="O14" s="98">
        <f t="shared" si="7"/>
        <v>0.27813163481960146</v>
      </c>
    </row>
    <row r="15" spans="1:15">
      <c r="A15" s="77" t="s">
        <v>53</v>
      </c>
      <c r="B15" s="128">
        <v>1052</v>
      </c>
      <c r="C15" s="129">
        <v>8000000</v>
      </c>
      <c r="D15" s="52">
        <v>6.06</v>
      </c>
      <c r="E15" s="52">
        <f>(C15-2500000)/2500000+3</f>
        <v>5.2</v>
      </c>
      <c r="F15" s="53">
        <f t="shared" si="0"/>
        <v>11.26</v>
      </c>
      <c r="G15" s="25">
        <f t="shared" si="2"/>
        <v>0.16135881104033969</v>
      </c>
      <c r="H15" s="67">
        <f t="shared" si="3"/>
        <v>11400</v>
      </c>
      <c r="I15" s="121">
        <f t="shared" si="8"/>
        <v>-2662</v>
      </c>
      <c r="J15" s="122">
        <f t="shared" si="4"/>
        <v>8738</v>
      </c>
      <c r="K15" s="86">
        <f t="shared" si="5"/>
        <v>1135.94</v>
      </c>
      <c r="L15" s="83">
        <f t="shared" si="6"/>
        <v>9873.94</v>
      </c>
      <c r="M15" s="2"/>
      <c r="N15" s="97">
        <f t="shared" si="1"/>
        <v>8737.5796178343953</v>
      </c>
      <c r="O15" s="98">
        <f t="shared" si="7"/>
        <v>0.42038216560467845</v>
      </c>
    </row>
    <row r="16" spans="1:15">
      <c r="A16" s="78" t="s">
        <v>96</v>
      </c>
      <c r="B16" s="128">
        <v>140</v>
      </c>
      <c r="C16" s="129">
        <v>534662</v>
      </c>
      <c r="D16" s="31">
        <v>3</v>
      </c>
      <c r="E16" s="31">
        <v>3</v>
      </c>
      <c r="F16" s="54">
        <f t="shared" si="0"/>
        <v>6</v>
      </c>
      <c r="G16" s="28">
        <f t="shared" si="2"/>
        <v>8.598726114649681E-2</v>
      </c>
      <c r="H16" s="67">
        <f t="shared" si="3"/>
        <v>6075</v>
      </c>
      <c r="I16" s="121">
        <f t="shared" si="8"/>
        <v>-1419</v>
      </c>
      <c r="J16" s="122">
        <f t="shared" si="4"/>
        <v>4656</v>
      </c>
      <c r="K16" s="86">
        <f t="shared" si="5"/>
        <v>605.28</v>
      </c>
      <c r="L16" s="83">
        <f t="shared" si="6"/>
        <v>5261.28</v>
      </c>
      <c r="M16" s="2"/>
      <c r="N16" s="97">
        <f t="shared" si="1"/>
        <v>4656.2101910828023</v>
      </c>
      <c r="O16" s="98">
        <f t="shared" si="7"/>
        <v>-0.21019108280233922</v>
      </c>
    </row>
    <row r="17" spans="1:15">
      <c r="A17" s="77" t="s">
        <v>77</v>
      </c>
      <c r="B17" s="128">
        <v>80</v>
      </c>
      <c r="C17" s="129">
        <v>136717</v>
      </c>
      <c r="D17" s="52">
        <v>2</v>
      </c>
      <c r="E17" s="52">
        <v>2</v>
      </c>
      <c r="F17" s="53">
        <f t="shared" si="0"/>
        <v>4</v>
      </c>
      <c r="G17" s="25">
        <f t="shared" si="2"/>
        <v>5.7324840764331211E-2</v>
      </c>
      <c r="H17" s="67">
        <f t="shared" si="3"/>
        <v>4050</v>
      </c>
      <c r="I17" s="121">
        <f t="shared" si="8"/>
        <v>-946</v>
      </c>
      <c r="J17" s="122">
        <f t="shared" si="4"/>
        <v>3104</v>
      </c>
      <c r="K17" s="86">
        <f t="shared" si="5"/>
        <v>403.52000000000004</v>
      </c>
      <c r="L17" s="83">
        <f t="shared" si="6"/>
        <v>3507.52</v>
      </c>
      <c r="M17" s="2"/>
      <c r="N17" s="97">
        <f t="shared" si="1"/>
        <v>3104.1401273885349</v>
      </c>
      <c r="O17" s="98">
        <f t="shared" si="7"/>
        <v>-0.14012738853489282</v>
      </c>
    </row>
    <row r="18" spans="1:15">
      <c r="A18" s="78" t="s">
        <v>78</v>
      </c>
      <c r="B18" s="82">
        <v>58</v>
      </c>
      <c r="C18" s="57">
        <v>143000</v>
      </c>
      <c r="D18" s="31">
        <v>2</v>
      </c>
      <c r="E18" s="31">
        <v>2</v>
      </c>
      <c r="F18" s="54">
        <f t="shared" si="0"/>
        <v>4</v>
      </c>
      <c r="G18" s="28">
        <f t="shared" si="2"/>
        <v>5.7324840764331211E-2</v>
      </c>
      <c r="H18" s="67">
        <f t="shared" si="3"/>
        <v>4050</v>
      </c>
      <c r="I18" s="121">
        <f t="shared" si="8"/>
        <v>-946</v>
      </c>
      <c r="J18" s="122">
        <f t="shared" si="4"/>
        <v>3104</v>
      </c>
      <c r="K18" s="86">
        <f t="shared" si="5"/>
        <v>403.52000000000004</v>
      </c>
      <c r="L18" s="83">
        <f t="shared" si="6"/>
        <v>3507.52</v>
      </c>
      <c r="M18" s="29"/>
      <c r="N18" s="97">
        <f t="shared" si="1"/>
        <v>3104.1401273885349</v>
      </c>
      <c r="O18" s="98">
        <f t="shared" si="7"/>
        <v>-0.14012738853489282</v>
      </c>
    </row>
    <row r="19" spans="1:15" s="32" customFormat="1">
      <c r="A19" s="78" t="s">
        <v>66</v>
      </c>
      <c r="B19" s="82">
        <v>160</v>
      </c>
      <c r="C19" s="30">
        <v>303587</v>
      </c>
      <c r="D19" s="31">
        <v>3</v>
      </c>
      <c r="E19" s="31">
        <v>2</v>
      </c>
      <c r="F19" s="54">
        <f>E19+D19</f>
        <v>5</v>
      </c>
      <c r="G19" s="28">
        <f t="shared" si="2"/>
        <v>7.1648973814578909E-2</v>
      </c>
      <c r="H19" s="67">
        <f t="shared" si="3"/>
        <v>5062</v>
      </c>
      <c r="I19" s="121">
        <f t="shared" si="8"/>
        <v>-1182</v>
      </c>
      <c r="J19" s="122">
        <f t="shared" si="4"/>
        <v>3880</v>
      </c>
      <c r="K19" s="86">
        <f t="shared" si="5"/>
        <v>504.40000000000003</v>
      </c>
      <c r="L19" s="83">
        <f t="shared" si="6"/>
        <v>4384.3999999999996</v>
      </c>
      <c r="M19" s="29"/>
      <c r="N19" s="97">
        <f t="shared" si="1"/>
        <v>3879.7919320594478</v>
      </c>
      <c r="O19" s="98">
        <f t="shared" si="7"/>
        <v>0.20806794055215505</v>
      </c>
    </row>
    <row r="20" spans="1:15" s="32" customFormat="1">
      <c r="A20" s="78"/>
      <c r="B20" s="82"/>
      <c r="C20" s="30"/>
      <c r="D20" s="31"/>
      <c r="E20" s="31"/>
      <c r="F20" s="54"/>
      <c r="G20" s="28"/>
      <c r="H20" s="67"/>
      <c r="I20" s="121"/>
      <c r="J20" s="122">
        <f t="shared" si="4"/>
        <v>0</v>
      </c>
      <c r="K20" s="86">
        <f t="shared" si="5"/>
        <v>0</v>
      </c>
      <c r="L20" s="83">
        <f t="shared" si="6"/>
        <v>0</v>
      </c>
      <c r="M20" s="29"/>
      <c r="N20" s="99"/>
      <c r="O20" s="98"/>
    </row>
    <row r="21" spans="1:15" s="32" customFormat="1">
      <c r="A21" s="78" t="s">
        <v>25</v>
      </c>
      <c r="B21" s="128">
        <v>30</v>
      </c>
      <c r="C21" s="130">
        <v>20360</v>
      </c>
      <c r="D21" s="31">
        <v>0.25</v>
      </c>
      <c r="E21" s="31">
        <v>0.25</v>
      </c>
      <c r="F21" s="54">
        <f>E21+D21</f>
        <v>0.5</v>
      </c>
      <c r="G21" s="28">
        <f>+H21/$H$26</f>
        <v>2.8308563340410473E-2</v>
      </c>
      <c r="H21" s="67">
        <v>2000</v>
      </c>
      <c r="I21" s="121">
        <f>-ROUND(H21*(1-$K$6/$K$3),0)</f>
        <v>-467</v>
      </c>
      <c r="J21" s="122">
        <f t="shared" si="4"/>
        <v>1533</v>
      </c>
      <c r="K21" s="86">
        <f t="shared" si="5"/>
        <v>199.29000000000002</v>
      </c>
      <c r="L21" s="83">
        <f t="shared" si="6"/>
        <v>1732.29</v>
      </c>
      <c r="M21" s="29"/>
      <c r="N21" s="97">
        <f>H21*$K$6/$K$3</f>
        <v>1532.9087048832271</v>
      </c>
      <c r="O21" s="98">
        <f t="shared" si="7"/>
        <v>9.1295116772926121E-2</v>
      </c>
    </row>
    <row r="22" spans="1:15" s="32" customFormat="1" ht="13.5" thickBot="1">
      <c r="A22" s="79" t="s">
        <v>51</v>
      </c>
      <c r="B22" s="131">
        <v>8</v>
      </c>
      <c r="C22" s="132">
        <v>68000</v>
      </c>
      <c r="D22" s="55">
        <v>0.25</v>
      </c>
      <c r="E22" s="55">
        <v>0.25</v>
      </c>
      <c r="F22" s="91">
        <f>E22+D22</f>
        <v>0.5</v>
      </c>
      <c r="G22" s="49">
        <f>+H22/$H$26</f>
        <v>2.8308563340410473E-2</v>
      </c>
      <c r="H22" s="68">
        <v>2000</v>
      </c>
      <c r="I22" s="123">
        <f>-ROUND(H22*(1-$K$6/$K$3),0)</f>
        <v>-467</v>
      </c>
      <c r="J22" s="124">
        <f t="shared" si="4"/>
        <v>1533</v>
      </c>
      <c r="K22" s="74">
        <f t="shared" si="5"/>
        <v>199.29000000000002</v>
      </c>
      <c r="L22" s="88">
        <f t="shared" si="6"/>
        <v>1732.29</v>
      </c>
      <c r="M22" s="29"/>
      <c r="N22" s="100">
        <f>H22*$K$6/$K$3</f>
        <v>1532.9087048832271</v>
      </c>
      <c r="O22" s="101">
        <f t="shared" si="7"/>
        <v>9.1295116772926121E-2</v>
      </c>
    </row>
    <row r="23" spans="1:15" s="32" customFormat="1">
      <c r="A23" s="70"/>
      <c r="B23" s="71"/>
      <c r="C23" s="71"/>
      <c r="D23" s="72"/>
      <c r="E23" s="72"/>
      <c r="F23" s="72"/>
      <c r="G23" s="73"/>
      <c r="H23" s="42"/>
      <c r="I23" s="42"/>
      <c r="J23" s="42"/>
      <c r="K23" s="47"/>
      <c r="L23" s="47"/>
      <c r="M23" s="29"/>
    </row>
    <row r="24" spans="1:15" s="32" customFormat="1">
      <c r="A24" s="70"/>
      <c r="B24" s="71"/>
      <c r="C24" s="71"/>
      <c r="D24" s="72"/>
      <c r="E24" s="72"/>
      <c r="I24" s="42"/>
      <c r="J24" s="42"/>
      <c r="K24" s="47"/>
      <c r="L24" s="47"/>
      <c r="M24" s="29"/>
    </row>
    <row r="25" spans="1:15" ht="13.5" thickBot="1">
      <c r="A25" s="18" t="s">
        <v>1</v>
      </c>
      <c r="B25" s="38"/>
      <c r="C25" s="39"/>
      <c r="D25" s="40"/>
      <c r="E25" s="40"/>
      <c r="F25" s="40"/>
      <c r="G25" s="41"/>
      <c r="H25" s="42"/>
      <c r="I25" s="42"/>
      <c r="J25" s="42"/>
      <c r="K25" s="43"/>
      <c r="L25" s="43"/>
    </row>
    <row r="26" spans="1:15" ht="13.5" thickBot="1">
      <c r="A26" s="4"/>
      <c r="B26" s="40"/>
      <c r="C26" s="44"/>
      <c r="D26" s="45">
        <f>SUM(D10:D25)</f>
        <v>35.659999999999997</v>
      </c>
      <c r="E26" s="46">
        <f>SUM(E10:E22)</f>
        <v>31.170951599999999</v>
      </c>
      <c r="F26" s="92">
        <f>SUM(F10:F19)</f>
        <v>65.830951599999992</v>
      </c>
      <c r="G26" s="89">
        <f>SUM(G10:G25)</f>
        <v>0.99999999999999978</v>
      </c>
      <c r="H26" s="90">
        <f>SUM(H10:H22)</f>
        <v>70650</v>
      </c>
      <c r="I26" s="121">
        <f>SUM(I10:I22)</f>
        <v>-16499</v>
      </c>
      <c r="J26" s="125">
        <f>SUM(J10:J22)</f>
        <v>54151</v>
      </c>
      <c r="K26" s="47"/>
      <c r="L26" s="47"/>
    </row>
    <row r="27" spans="1:15">
      <c r="A27" s="4"/>
      <c r="B27" s="40"/>
      <c r="C27" s="44"/>
      <c r="D27" s="60"/>
      <c r="E27" s="40"/>
      <c r="F27" s="93" t="s">
        <v>86</v>
      </c>
      <c r="G27" s="61"/>
      <c r="H27" s="59"/>
      <c r="I27" s="59"/>
      <c r="J27" s="59"/>
      <c r="K27" s="62"/>
      <c r="L27" s="62"/>
    </row>
    <row r="28" spans="1:15">
      <c r="A28" s="4"/>
      <c r="B28" s="40"/>
      <c r="C28" s="44"/>
      <c r="D28" s="60"/>
      <c r="E28" s="40"/>
      <c r="F28" s="93" t="s">
        <v>87</v>
      </c>
      <c r="G28" s="61"/>
      <c r="H28" s="59"/>
      <c r="I28" s="59"/>
      <c r="J28" s="59"/>
      <c r="K28" s="62"/>
      <c r="L28" s="62"/>
    </row>
    <row r="29" spans="1:15">
      <c r="A29" s="2" t="s">
        <v>63</v>
      </c>
      <c r="B29" s="40"/>
      <c r="C29" s="4"/>
      <c r="D29" s="48"/>
      <c r="E29" s="4"/>
      <c r="F29" s="10"/>
      <c r="G29" s="59"/>
      <c r="H29" s="59"/>
      <c r="I29" s="59"/>
      <c r="J29" s="59"/>
      <c r="K29" s="59"/>
      <c r="L29" s="59"/>
    </row>
    <row r="30" spans="1:15">
      <c r="A30" s="2"/>
      <c r="B30" s="40"/>
      <c r="C30" s="4"/>
      <c r="D30" s="48"/>
      <c r="E30" s="4"/>
      <c r="F30" s="10"/>
      <c r="G30" s="10"/>
      <c r="H30" s="10"/>
      <c r="I30" s="10"/>
      <c r="J30" s="10"/>
      <c r="K30" s="10"/>
      <c r="L30" s="10"/>
      <c r="M30" s="63"/>
      <c r="N30" s="64"/>
    </row>
    <row r="31" spans="1:15" s="32" customFormat="1">
      <c r="A31" s="27" t="s">
        <v>61</v>
      </c>
      <c r="B31" s="30"/>
      <c r="C31" s="30"/>
      <c r="D31" s="31"/>
      <c r="E31" s="31"/>
      <c r="F31" s="31"/>
      <c r="G31" s="28"/>
      <c r="H31" s="33"/>
      <c r="I31" s="84"/>
      <c r="J31" s="84"/>
      <c r="K31" s="26"/>
      <c r="L31" s="47"/>
      <c r="M31" s="59"/>
      <c r="N31" s="64"/>
    </row>
    <row r="32" spans="1:15" s="32" customFormat="1">
      <c r="A32" s="27" t="s">
        <v>62</v>
      </c>
      <c r="B32" s="30"/>
      <c r="C32" s="30"/>
      <c r="D32" s="31"/>
      <c r="E32" s="31"/>
      <c r="F32" s="31"/>
      <c r="G32" s="28"/>
      <c r="H32" s="33"/>
      <c r="I32" s="84"/>
      <c r="J32" s="84"/>
      <c r="K32" s="26"/>
      <c r="L32" s="47"/>
      <c r="M32" s="64"/>
      <c r="N32" s="64"/>
    </row>
    <row r="33" spans="1:14" s="32" customFormat="1">
      <c r="A33" s="27" t="s">
        <v>64</v>
      </c>
      <c r="B33" s="30"/>
      <c r="C33" s="30"/>
      <c r="D33" s="31"/>
      <c r="E33" s="31"/>
      <c r="F33" s="31"/>
      <c r="G33" s="28"/>
      <c r="H33" s="33"/>
      <c r="I33" s="84"/>
      <c r="J33" s="84"/>
      <c r="K33" s="26"/>
      <c r="L33" s="47"/>
      <c r="M33" s="64"/>
      <c r="N33" s="64"/>
    </row>
    <row r="34" spans="1:14" s="32" customFormat="1">
      <c r="A34" s="27" t="s">
        <v>79</v>
      </c>
      <c r="B34" s="30"/>
      <c r="C34" s="30"/>
      <c r="D34" s="31"/>
      <c r="E34" s="31"/>
      <c r="F34" s="31"/>
      <c r="G34" s="28"/>
      <c r="H34" s="33"/>
      <c r="I34" s="84"/>
      <c r="J34" s="84"/>
      <c r="K34" s="26"/>
      <c r="L34" s="47"/>
      <c r="M34" s="64"/>
      <c r="N34" s="64"/>
    </row>
    <row r="35" spans="1:14" s="32" customFormat="1">
      <c r="A35" s="27" t="s">
        <v>72</v>
      </c>
      <c r="B35" s="30"/>
      <c r="C35" s="30"/>
      <c r="D35" s="31"/>
      <c r="E35" s="31"/>
      <c r="F35" s="31"/>
      <c r="G35" s="28"/>
      <c r="H35" s="33"/>
      <c r="I35" s="84"/>
      <c r="J35" s="84"/>
      <c r="K35" s="26"/>
      <c r="L35" s="47"/>
      <c r="M35" s="64"/>
      <c r="N35" s="64"/>
    </row>
    <row r="36" spans="1:14" s="32" customFormat="1">
      <c r="A36" s="27" t="s">
        <v>73</v>
      </c>
      <c r="B36" s="30"/>
      <c r="C36" s="30"/>
      <c r="D36" s="31"/>
      <c r="E36" s="31"/>
      <c r="F36" s="31"/>
      <c r="G36" s="28"/>
      <c r="H36" s="33"/>
      <c r="I36" s="84"/>
      <c r="J36" s="84"/>
      <c r="K36" s="26"/>
      <c r="L36" s="47"/>
      <c r="M36" s="64"/>
      <c r="N36" s="64"/>
    </row>
    <row r="37" spans="1:14" s="32" customFormat="1">
      <c r="A37" s="27" t="s">
        <v>74</v>
      </c>
      <c r="B37" s="30"/>
      <c r="C37" s="30"/>
      <c r="D37" s="31"/>
      <c r="E37" s="31"/>
      <c r="F37" s="31"/>
      <c r="G37" s="28"/>
      <c r="H37" s="33"/>
      <c r="I37" s="84"/>
      <c r="J37" s="84"/>
      <c r="K37" s="26"/>
      <c r="L37" s="47"/>
      <c r="M37" s="64"/>
      <c r="N37" s="64"/>
    </row>
    <row r="38" spans="1:14" s="32" customFormat="1">
      <c r="A38" s="27" t="s">
        <v>75</v>
      </c>
      <c r="B38" s="30"/>
      <c r="C38" s="30"/>
      <c r="D38" s="31"/>
      <c r="E38" s="31"/>
      <c r="F38" s="31"/>
      <c r="G38" s="28"/>
      <c r="H38" s="33"/>
      <c r="I38" s="84"/>
      <c r="J38" s="84"/>
      <c r="K38" s="26"/>
      <c r="L38" s="47"/>
      <c r="M38" s="64"/>
      <c r="N38" s="64"/>
    </row>
    <row r="39" spans="1:14" s="32" customFormat="1">
      <c r="A39" s="27" t="s">
        <v>80</v>
      </c>
      <c r="B39" s="30"/>
      <c r="C39" s="30"/>
      <c r="D39" s="31"/>
      <c r="E39" s="31"/>
      <c r="F39" s="31"/>
      <c r="G39" s="28"/>
      <c r="H39" s="33"/>
      <c r="I39" s="84"/>
      <c r="J39" s="84"/>
      <c r="K39" s="26"/>
      <c r="L39" s="47"/>
      <c r="M39" s="64"/>
      <c r="N39" s="64"/>
    </row>
    <row r="40" spans="1:14" s="32" customFormat="1">
      <c r="A40" s="27" t="s">
        <v>76</v>
      </c>
      <c r="B40" s="30"/>
      <c r="C40" s="30"/>
      <c r="D40" s="31"/>
      <c r="E40" s="31"/>
      <c r="F40" s="31"/>
      <c r="G40" s="28"/>
      <c r="H40" s="33"/>
      <c r="I40" s="84"/>
      <c r="J40" s="84"/>
      <c r="K40" s="26"/>
      <c r="L40" s="47"/>
      <c r="M40" s="64"/>
      <c r="N40" s="64"/>
    </row>
    <row r="41" spans="1:14" s="32" customFormat="1">
      <c r="A41" s="27" t="s">
        <v>28</v>
      </c>
      <c r="B41" s="30"/>
      <c r="C41" s="30"/>
      <c r="D41" s="31"/>
      <c r="E41" s="31"/>
      <c r="F41" s="31"/>
      <c r="G41" s="28"/>
      <c r="H41" s="33"/>
      <c r="I41" s="84"/>
      <c r="J41" s="84"/>
      <c r="K41" s="34"/>
      <c r="L41" s="42"/>
      <c r="M41" s="64"/>
      <c r="N41" s="64"/>
    </row>
    <row r="42" spans="1:14" s="32" customFormat="1" ht="13.5" thickBot="1">
      <c r="A42" s="35"/>
      <c r="B42" s="58"/>
      <c r="C42" s="58"/>
      <c r="D42" s="55"/>
      <c r="E42" s="55"/>
      <c r="F42" s="55"/>
      <c r="G42" s="49"/>
      <c r="H42" s="36"/>
      <c r="I42" s="85"/>
      <c r="J42" s="85"/>
      <c r="K42" s="37"/>
      <c r="L42" s="42"/>
      <c r="M42" s="64"/>
      <c r="N42" s="64"/>
    </row>
    <row r="43" spans="1:14">
      <c r="M43" s="64"/>
      <c r="N43" s="64"/>
    </row>
    <row r="44" spans="1:14">
      <c r="M44" s="64"/>
      <c r="N44" s="64"/>
    </row>
  </sheetData>
  <mergeCells count="4">
    <mergeCell ref="H8:H9"/>
    <mergeCell ref="L8:L9"/>
    <mergeCell ref="I8:I9"/>
    <mergeCell ref="J8:J9"/>
  </mergeCells>
  <phoneticPr fontId="0" type="noConversion"/>
  <pageMargins left="0.5" right="0.5" top="0.95" bottom="0.5" header="0" footer="0.25"/>
  <pageSetup scale="82" orientation="landscape" r:id="rId1"/>
  <headerFooter alignWithMargins="0">
    <oddFooter>&amp;RHIEA 2009 Business Plan - Draft
&amp;D</oddFoot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AG90"/>
  <sheetViews>
    <sheetView tabSelected="1" view="pageBreakPreview" topLeftCell="A37" zoomScaleNormal="75" zoomScaleSheetLayoutView="100" workbookViewId="0">
      <pane xSplit="1" topLeftCell="M1" activePane="topRight" state="frozen"/>
      <selection activeCell="A12" sqref="A12"/>
      <selection pane="topRight" activeCell="AH23" sqref="AH23:AO32"/>
    </sheetView>
  </sheetViews>
  <sheetFormatPr defaultRowHeight="15"/>
  <cols>
    <col min="1" max="1" width="33.28515625" style="133" customWidth="1"/>
    <col min="2" max="17" width="9.7109375" style="133" customWidth="1"/>
    <col min="18" max="18" width="13" style="133" customWidth="1"/>
    <col min="19" max="19" width="10.7109375" style="133" customWidth="1"/>
    <col min="20" max="20" width="9.7109375" style="133" customWidth="1"/>
    <col min="21" max="16384" width="9.140625" style="133"/>
  </cols>
  <sheetData>
    <row r="1" spans="1:25" ht="32.25" thickBot="1">
      <c r="A1" s="429" t="s">
        <v>102</v>
      </c>
      <c r="B1" s="429"/>
      <c r="C1" s="429"/>
      <c r="D1" s="429"/>
      <c r="E1" s="429"/>
      <c r="F1" s="429"/>
      <c r="G1" s="429"/>
      <c r="H1" s="429"/>
      <c r="I1" s="429"/>
      <c r="J1" s="429"/>
      <c r="K1" s="429"/>
      <c r="L1" s="429"/>
      <c r="M1" s="429"/>
      <c r="N1" s="429"/>
      <c r="O1" s="429"/>
      <c r="P1" s="429"/>
      <c r="Q1" s="429"/>
      <c r="R1" s="429"/>
      <c r="S1" s="429"/>
      <c r="T1" s="429"/>
    </row>
    <row r="2" spans="1:25" ht="60.75" customHeight="1" thickBot="1">
      <c r="A2" s="134"/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5"/>
      <c r="N2" s="135"/>
      <c r="O2" s="135"/>
      <c r="P2" s="135"/>
      <c r="Q2" s="272"/>
      <c r="R2" s="136" t="s">
        <v>153</v>
      </c>
      <c r="S2" s="430" t="s">
        <v>157</v>
      </c>
      <c r="T2" s="430" t="s">
        <v>152</v>
      </c>
    </row>
    <row r="3" spans="1:25" ht="20.100000000000001" customHeight="1" thickBot="1">
      <c r="A3" s="137"/>
      <c r="B3" s="138">
        <v>1998</v>
      </c>
      <c r="C3" s="139">
        <v>1999</v>
      </c>
      <c r="D3" s="138">
        <v>2000</v>
      </c>
      <c r="E3" s="139">
        <v>2001</v>
      </c>
      <c r="F3" s="139">
        <v>2002</v>
      </c>
      <c r="G3" s="138">
        <v>2003</v>
      </c>
      <c r="H3" s="140">
        <v>2004</v>
      </c>
      <c r="I3" s="140">
        <v>2005</v>
      </c>
      <c r="J3" s="141">
        <v>2006</v>
      </c>
      <c r="K3" s="140">
        <v>2007</v>
      </c>
      <c r="L3" s="140">
        <v>2008</v>
      </c>
      <c r="M3" s="142">
        <v>2009</v>
      </c>
      <c r="N3" s="142">
        <v>2010</v>
      </c>
      <c r="O3" s="143">
        <v>2011</v>
      </c>
      <c r="P3" s="143">
        <v>2012</v>
      </c>
      <c r="Q3" s="144">
        <v>2013</v>
      </c>
      <c r="R3" s="144">
        <v>2014</v>
      </c>
      <c r="S3" s="431"/>
      <c r="T3" s="431"/>
    </row>
    <row r="4" spans="1:25" ht="15.75" thickBot="1">
      <c r="A4" s="432" t="s">
        <v>3</v>
      </c>
      <c r="B4" s="433"/>
      <c r="C4" s="433"/>
      <c r="D4" s="433"/>
      <c r="E4" s="433"/>
      <c r="F4" s="433"/>
      <c r="G4" s="433"/>
      <c r="H4" s="433"/>
      <c r="I4" s="433"/>
      <c r="J4" s="433"/>
      <c r="K4" s="433"/>
      <c r="L4" s="433"/>
      <c r="M4" s="433"/>
      <c r="N4" s="433"/>
      <c r="O4" s="433"/>
      <c r="P4" s="433"/>
      <c r="Q4" s="433"/>
      <c r="R4" s="433"/>
      <c r="S4" s="433"/>
      <c r="T4" s="434"/>
      <c r="Y4" s="145"/>
    </row>
    <row r="5" spans="1:25" ht="20.100000000000001" customHeight="1">
      <c r="A5" s="146" t="s">
        <v>4</v>
      </c>
      <c r="B5" s="147"/>
      <c r="C5" s="147"/>
      <c r="D5" s="147"/>
      <c r="E5" s="147"/>
      <c r="F5" s="147"/>
      <c r="G5" s="147"/>
      <c r="H5" s="147">
        <v>11471</v>
      </c>
      <c r="I5" s="147">
        <v>16151</v>
      </c>
      <c r="J5" s="147">
        <v>14717</v>
      </c>
      <c r="K5" s="147">
        <v>19727.72</v>
      </c>
      <c r="L5" s="147">
        <v>18065.88</v>
      </c>
      <c r="M5" s="148">
        <v>19861.810000000001</v>
      </c>
      <c r="N5" s="149">
        <v>25166.82</v>
      </c>
      <c r="O5" s="149">
        <v>20033.57</v>
      </c>
      <c r="P5" s="150">
        <v>14443.77</v>
      </c>
      <c r="Q5" s="151">
        <v>19977.169999999998</v>
      </c>
      <c r="R5" s="151">
        <v>23000</v>
      </c>
      <c r="S5" s="152">
        <f>SUM(B5:R5)</f>
        <v>202615.74</v>
      </c>
      <c r="T5" s="152">
        <f>SUM(M5:Q5)</f>
        <v>99483.14</v>
      </c>
    </row>
    <row r="6" spans="1:25" ht="20.100000000000001" customHeight="1">
      <c r="A6" s="153" t="s">
        <v>5</v>
      </c>
      <c r="B6" s="154"/>
      <c r="C6" s="154"/>
      <c r="D6" s="154"/>
      <c r="E6" s="154"/>
      <c r="F6" s="154"/>
      <c r="G6" s="155">
        <v>0</v>
      </c>
      <c r="H6" s="155">
        <v>0</v>
      </c>
      <c r="I6" s="155">
        <v>0</v>
      </c>
      <c r="J6" s="155">
        <v>1050</v>
      </c>
      <c r="K6" s="155">
        <v>1155</v>
      </c>
      <c r="L6" s="155">
        <v>1550</v>
      </c>
      <c r="M6" s="148">
        <v>1650</v>
      </c>
      <c r="N6" s="156">
        <v>1700</v>
      </c>
      <c r="O6" s="156">
        <v>1700</v>
      </c>
      <c r="P6" s="157">
        <v>1900</v>
      </c>
      <c r="Q6" s="151">
        <v>2250</v>
      </c>
      <c r="R6" s="151">
        <v>2000</v>
      </c>
      <c r="S6" s="152">
        <f t="shared" ref="S6:S14" si="0">SUM(B6:R6)</f>
        <v>14955</v>
      </c>
      <c r="T6" s="152">
        <f t="shared" ref="T6:T14" si="1">SUM(M6:Q6)</f>
        <v>9200</v>
      </c>
    </row>
    <row r="7" spans="1:25" ht="20.100000000000001" customHeight="1">
      <c r="A7" s="153" t="s">
        <v>6</v>
      </c>
      <c r="B7" s="154"/>
      <c r="C7" s="154"/>
      <c r="D7" s="154">
        <v>540</v>
      </c>
      <c r="E7" s="154">
        <v>1134</v>
      </c>
      <c r="F7" s="154">
        <v>1215</v>
      </c>
      <c r="G7" s="155">
        <v>1890</v>
      </c>
      <c r="H7" s="155">
        <v>2673</v>
      </c>
      <c r="I7" s="155">
        <v>3042</v>
      </c>
      <c r="J7" s="155">
        <v>3164</v>
      </c>
      <c r="K7" s="155">
        <v>3045.6</v>
      </c>
      <c r="L7" s="155">
        <v>3045.5</v>
      </c>
      <c r="M7" s="148">
        <v>2820</v>
      </c>
      <c r="N7" s="156">
        <v>2925.6</v>
      </c>
      <c r="O7" s="156">
        <v>3045.6</v>
      </c>
      <c r="P7" s="157">
        <v>3045.6</v>
      </c>
      <c r="Q7" s="151">
        <v>3045.6</v>
      </c>
      <c r="R7" s="151">
        <v>3500</v>
      </c>
      <c r="S7" s="152">
        <f t="shared" si="0"/>
        <v>38131.499999999993</v>
      </c>
      <c r="T7" s="152">
        <f t="shared" si="1"/>
        <v>14882.400000000001</v>
      </c>
    </row>
    <row r="8" spans="1:25" ht="20.100000000000001" customHeight="1">
      <c r="A8" s="153" t="s">
        <v>7</v>
      </c>
      <c r="B8" s="154">
        <f>23+90</f>
        <v>113</v>
      </c>
      <c r="C8" s="154">
        <f>24+124</f>
        <v>148</v>
      </c>
      <c r="D8" s="154">
        <f>69+148</f>
        <v>217</v>
      </c>
      <c r="E8" s="154">
        <f>48+136</f>
        <v>184</v>
      </c>
      <c r="F8" s="154">
        <f>100+72+60</f>
        <v>232</v>
      </c>
      <c r="G8" s="155">
        <f>108+72+30</f>
        <v>210</v>
      </c>
      <c r="H8" s="155">
        <f>48+147+30</f>
        <v>225</v>
      </c>
      <c r="I8" s="155">
        <f>113+134+292+557+30</f>
        <v>1126</v>
      </c>
      <c r="J8" s="155">
        <f>47+156+87+30</f>
        <v>320</v>
      </c>
      <c r="K8" s="155">
        <v>413.05</v>
      </c>
      <c r="L8" s="155">
        <v>286.98</v>
      </c>
      <c r="M8" s="148">
        <v>1350.2</v>
      </c>
      <c r="N8" s="156">
        <v>216.97</v>
      </c>
      <c r="O8" s="156">
        <v>212.4</v>
      </c>
      <c r="P8" s="157">
        <v>214.1</v>
      </c>
      <c r="Q8" s="151">
        <v>77.400000000000006</v>
      </c>
      <c r="R8" s="151">
        <v>300</v>
      </c>
      <c r="S8" s="152">
        <f t="shared" si="0"/>
        <v>5846.1</v>
      </c>
      <c r="T8" s="152">
        <f t="shared" si="1"/>
        <v>2071.0700000000002</v>
      </c>
    </row>
    <row r="9" spans="1:25" ht="20.100000000000001" customHeight="1">
      <c r="A9" s="153" t="s">
        <v>147</v>
      </c>
      <c r="B9" s="155"/>
      <c r="C9" s="155"/>
      <c r="D9" s="155"/>
      <c r="E9" s="155"/>
      <c r="F9" s="155"/>
      <c r="G9" s="155"/>
      <c r="H9" s="155"/>
      <c r="I9" s="155">
        <v>8000</v>
      </c>
      <c r="J9" s="155"/>
      <c r="K9" s="155"/>
      <c r="L9" s="155">
        <v>102.6</v>
      </c>
      <c r="M9" s="148">
        <v>0</v>
      </c>
      <c r="N9" s="156">
        <v>0</v>
      </c>
      <c r="O9" s="156"/>
      <c r="P9" s="157">
        <v>0</v>
      </c>
      <c r="Q9" s="151">
        <v>0</v>
      </c>
      <c r="R9" s="151">
        <v>0</v>
      </c>
      <c r="S9" s="152">
        <f t="shared" si="0"/>
        <v>8102.6</v>
      </c>
      <c r="T9" s="152">
        <f t="shared" si="1"/>
        <v>0</v>
      </c>
    </row>
    <row r="10" spans="1:25" ht="20.100000000000001" customHeight="1">
      <c r="A10" s="153" t="s">
        <v>103</v>
      </c>
      <c r="B10" s="154"/>
      <c r="C10" s="154"/>
      <c r="D10" s="154"/>
      <c r="E10" s="154"/>
      <c r="F10" s="154">
        <v>3376</v>
      </c>
      <c r="G10" s="155">
        <v>0</v>
      </c>
      <c r="H10" s="155">
        <v>3522</v>
      </c>
      <c r="I10" s="155">
        <v>2981</v>
      </c>
      <c r="J10" s="155">
        <v>1134</v>
      </c>
      <c r="K10" s="155">
        <v>3018.38</v>
      </c>
      <c r="L10" s="155">
        <v>885.6</v>
      </c>
      <c r="M10" s="148">
        <v>541.08000000000004</v>
      </c>
      <c r="N10" s="156">
        <v>541</v>
      </c>
      <c r="O10" s="156">
        <v>495</v>
      </c>
      <c r="P10" s="157">
        <v>495</v>
      </c>
      <c r="Q10" s="151">
        <v>350</v>
      </c>
      <c r="R10" s="151">
        <v>600</v>
      </c>
      <c r="S10" s="152">
        <f t="shared" si="0"/>
        <v>17939.060000000001</v>
      </c>
      <c r="T10" s="152">
        <f t="shared" si="1"/>
        <v>2422.08</v>
      </c>
    </row>
    <row r="11" spans="1:25" ht="20.100000000000001" customHeight="1">
      <c r="A11" s="153" t="s">
        <v>104</v>
      </c>
      <c r="B11" s="154"/>
      <c r="C11" s="154"/>
      <c r="D11" s="154"/>
      <c r="E11" s="154"/>
      <c r="F11" s="154"/>
      <c r="G11" s="155">
        <v>2169</v>
      </c>
      <c r="H11" s="155">
        <v>0</v>
      </c>
      <c r="I11" s="155"/>
      <c r="J11" s="155"/>
      <c r="K11" s="155"/>
      <c r="L11" s="155"/>
      <c r="M11" s="148"/>
      <c r="N11" s="156"/>
      <c r="O11" s="156"/>
      <c r="P11" s="157">
        <v>0</v>
      </c>
      <c r="Q11" s="151">
        <v>0</v>
      </c>
      <c r="R11" s="151">
        <v>0</v>
      </c>
      <c r="S11" s="152">
        <f t="shared" si="0"/>
        <v>2169</v>
      </c>
      <c r="T11" s="152">
        <f t="shared" si="1"/>
        <v>0</v>
      </c>
    </row>
    <row r="12" spans="1:25" ht="20.100000000000001" customHeight="1">
      <c r="A12" s="153" t="s">
        <v>105</v>
      </c>
      <c r="B12" s="154"/>
      <c r="C12" s="154"/>
      <c r="D12" s="154"/>
      <c r="E12" s="154"/>
      <c r="F12" s="154"/>
      <c r="G12" s="155"/>
      <c r="H12" s="155"/>
      <c r="I12" s="155"/>
      <c r="J12" s="155"/>
      <c r="K12" s="155">
        <v>1100.8800000000001</v>
      </c>
      <c r="L12" s="155">
        <f>'[1]Operating costs'!D11</f>
        <v>0</v>
      </c>
      <c r="M12" s="148">
        <v>0</v>
      </c>
      <c r="N12" s="156"/>
      <c r="O12" s="156">
        <v>1317.58</v>
      </c>
      <c r="P12" s="157">
        <v>560.5</v>
      </c>
      <c r="Q12" s="151">
        <v>1029.8499999999999</v>
      </c>
      <c r="R12" s="151">
        <v>1000</v>
      </c>
      <c r="S12" s="152">
        <f t="shared" si="0"/>
        <v>5008.8099999999995</v>
      </c>
      <c r="T12" s="152">
        <f t="shared" si="1"/>
        <v>2907.93</v>
      </c>
    </row>
    <row r="13" spans="1:25" ht="20.100000000000001" customHeight="1">
      <c r="A13" s="153" t="s">
        <v>106</v>
      </c>
      <c r="B13" s="154"/>
      <c r="C13" s="154"/>
      <c r="D13" s="154"/>
      <c r="E13" s="154">
        <v>2561</v>
      </c>
      <c r="F13" s="154"/>
      <c r="G13" s="155"/>
      <c r="H13" s="155"/>
      <c r="I13" s="155"/>
      <c r="J13" s="155"/>
      <c r="K13" s="155"/>
      <c r="L13" s="155"/>
      <c r="M13" s="148"/>
      <c r="N13" s="156"/>
      <c r="O13" s="156"/>
      <c r="P13" s="157">
        <v>0</v>
      </c>
      <c r="Q13" s="151"/>
      <c r="R13" s="151"/>
      <c r="S13" s="152">
        <f t="shared" si="0"/>
        <v>2561</v>
      </c>
      <c r="T13" s="152">
        <f t="shared" si="1"/>
        <v>0</v>
      </c>
    </row>
    <row r="14" spans="1:25" ht="20.100000000000001" customHeight="1" thickBot="1">
      <c r="A14" s="158"/>
      <c r="B14" s="159"/>
      <c r="C14" s="159"/>
      <c r="D14" s="159"/>
      <c r="E14" s="159"/>
      <c r="F14" s="159"/>
      <c r="G14" s="159" t="s">
        <v>1</v>
      </c>
      <c r="H14" s="159" t="s">
        <v>1</v>
      </c>
      <c r="I14" s="159"/>
      <c r="J14" s="160"/>
      <c r="K14" s="160"/>
      <c r="L14" s="159"/>
      <c r="M14" s="161"/>
      <c r="N14" s="162"/>
      <c r="O14" s="162"/>
      <c r="P14" s="163">
        <v>0</v>
      </c>
      <c r="Q14" s="164"/>
      <c r="R14" s="164"/>
      <c r="S14" s="152">
        <f t="shared" si="0"/>
        <v>0</v>
      </c>
      <c r="T14" s="152">
        <f t="shared" si="1"/>
        <v>0</v>
      </c>
    </row>
    <row r="15" spans="1:25" ht="20.100000000000001" customHeight="1" thickBot="1">
      <c r="A15" s="165" t="s">
        <v>107</v>
      </c>
      <c r="B15" s="166">
        <f t="shared" ref="B15:L15" si="2">SUM(B5:B14)</f>
        <v>113</v>
      </c>
      <c r="C15" s="166">
        <f t="shared" si="2"/>
        <v>148</v>
      </c>
      <c r="D15" s="166">
        <f t="shared" si="2"/>
        <v>757</v>
      </c>
      <c r="E15" s="166">
        <f t="shared" si="2"/>
        <v>3879</v>
      </c>
      <c r="F15" s="166">
        <f t="shared" si="2"/>
        <v>4823</v>
      </c>
      <c r="G15" s="166">
        <f t="shared" si="2"/>
        <v>4269</v>
      </c>
      <c r="H15" s="166">
        <f t="shared" si="2"/>
        <v>17891</v>
      </c>
      <c r="I15" s="166">
        <f t="shared" si="2"/>
        <v>31300</v>
      </c>
      <c r="J15" s="167">
        <f t="shared" si="2"/>
        <v>20385</v>
      </c>
      <c r="K15" s="167">
        <f t="shared" si="2"/>
        <v>28460.63</v>
      </c>
      <c r="L15" s="167">
        <f t="shared" si="2"/>
        <v>23936.559999999998</v>
      </c>
      <c r="M15" s="167">
        <f t="shared" ref="M15:T15" si="3">SUM(M5:M14)</f>
        <v>26223.090000000004</v>
      </c>
      <c r="N15" s="167">
        <f t="shared" si="3"/>
        <v>30550.39</v>
      </c>
      <c r="O15" s="167">
        <f t="shared" si="3"/>
        <v>26804.15</v>
      </c>
      <c r="P15" s="167">
        <f t="shared" si="3"/>
        <v>20658.969999999998</v>
      </c>
      <c r="Q15" s="167">
        <f t="shared" si="3"/>
        <v>26730.019999999997</v>
      </c>
      <c r="R15" s="167">
        <f t="shared" si="3"/>
        <v>30400</v>
      </c>
      <c r="S15" s="166">
        <f t="shared" si="3"/>
        <v>297328.81</v>
      </c>
      <c r="T15" s="166">
        <f t="shared" si="3"/>
        <v>130966.62000000001</v>
      </c>
    </row>
    <row r="16" spans="1:25" ht="20.100000000000001" customHeight="1" thickBot="1">
      <c r="A16" s="168" t="s">
        <v>108</v>
      </c>
      <c r="B16" s="169"/>
      <c r="C16" s="170"/>
      <c r="D16" s="170"/>
      <c r="E16" s="170"/>
      <c r="F16" s="170"/>
      <c r="G16" s="170"/>
      <c r="H16" s="170"/>
      <c r="I16" s="170"/>
      <c r="J16" s="171"/>
      <c r="K16" s="172"/>
      <c r="L16" s="173"/>
      <c r="M16" s="173">
        <f t="shared" ref="M16:O16" si="4">L16+M15</f>
        <v>26223.090000000004</v>
      </c>
      <c r="N16" s="173">
        <f t="shared" si="4"/>
        <v>56773.48</v>
      </c>
      <c r="O16" s="270">
        <f t="shared" si="4"/>
        <v>83577.63</v>
      </c>
      <c r="P16" s="270">
        <f>O16+P15</f>
        <v>104236.6</v>
      </c>
      <c r="Q16" s="270">
        <f>P16+Q15</f>
        <v>130966.62</v>
      </c>
      <c r="R16" s="270">
        <f>Q16+R15</f>
        <v>161366.62</v>
      </c>
      <c r="S16" s="170"/>
      <c r="T16" s="174"/>
    </row>
    <row r="17" spans="1:20" ht="20.100000000000001" customHeight="1" thickBot="1">
      <c r="A17" s="426"/>
      <c r="B17" s="427"/>
      <c r="C17" s="427"/>
      <c r="D17" s="427"/>
      <c r="E17" s="427"/>
      <c r="F17" s="427"/>
      <c r="G17" s="427"/>
      <c r="H17" s="427"/>
      <c r="I17" s="427"/>
      <c r="J17" s="427"/>
      <c r="K17" s="427"/>
      <c r="L17" s="427"/>
      <c r="M17" s="427"/>
      <c r="N17" s="427"/>
      <c r="O17" s="427"/>
      <c r="P17" s="427"/>
      <c r="Q17" s="427"/>
      <c r="R17" s="427"/>
      <c r="S17" s="427"/>
      <c r="T17" s="428"/>
    </row>
    <row r="18" spans="1:20" ht="20.100000000000001" customHeight="1" thickBot="1">
      <c r="A18" s="435" t="s">
        <v>109</v>
      </c>
      <c r="B18" s="436"/>
      <c r="C18" s="436"/>
      <c r="D18" s="436"/>
      <c r="E18" s="436"/>
      <c r="F18" s="436"/>
      <c r="G18" s="436"/>
      <c r="H18" s="436"/>
      <c r="I18" s="436"/>
      <c r="J18" s="436"/>
      <c r="K18" s="436"/>
      <c r="L18" s="436"/>
      <c r="M18" s="436"/>
      <c r="N18" s="436"/>
      <c r="O18" s="436"/>
      <c r="P18" s="436"/>
      <c r="Q18" s="436"/>
      <c r="R18" s="436"/>
      <c r="S18" s="436"/>
      <c r="T18" s="437"/>
    </row>
    <row r="19" spans="1:20" ht="19.5" customHeight="1">
      <c r="A19" s="175" t="s">
        <v>158</v>
      </c>
      <c r="B19" s="176"/>
      <c r="C19" s="177">
        <f>501+889</f>
        <v>1390</v>
      </c>
      <c r="D19" s="177">
        <f>427+664</f>
        <v>1091</v>
      </c>
      <c r="E19" s="178">
        <f>536+690</f>
        <v>1226</v>
      </c>
      <c r="F19" s="178">
        <f>467+658</f>
        <v>1125</v>
      </c>
      <c r="G19" s="147">
        <f>522+670</f>
        <v>1192</v>
      </c>
      <c r="H19" s="147">
        <f>569+662</f>
        <v>1231</v>
      </c>
      <c r="I19" s="147">
        <f>604+721</f>
        <v>1325</v>
      </c>
      <c r="J19" s="147">
        <f>653+702</f>
        <v>1355</v>
      </c>
      <c r="K19" s="147">
        <v>1548.99</v>
      </c>
      <c r="L19" s="179">
        <v>1579.68</v>
      </c>
      <c r="M19" s="180">
        <v>1689.07</v>
      </c>
      <c r="N19" s="148">
        <v>1626.83</v>
      </c>
      <c r="O19" s="149">
        <v>1595.37</v>
      </c>
      <c r="P19" s="150">
        <v>1557.01</v>
      </c>
      <c r="Q19" s="151">
        <v>1727.93</v>
      </c>
      <c r="R19" s="151">
        <v>1250</v>
      </c>
      <c r="S19" s="152">
        <f>SUM(B19:R19)</f>
        <v>22509.879999999997</v>
      </c>
      <c r="T19" s="152">
        <f>SUM(M19:Q19)</f>
        <v>8196.2099999999991</v>
      </c>
    </row>
    <row r="20" spans="1:20" ht="20.100000000000001" customHeight="1">
      <c r="A20" s="153" t="s">
        <v>110</v>
      </c>
      <c r="B20" s="181"/>
      <c r="C20" s="154"/>
      <c r="D20" s="154"/>
      <c r="E20" s="154"/>
      <c r="F20" s="154">
        <v>6173</v>
      </c>
      <c r="G20" s="155">
        <v>2325</v>
      </c>
      <c r="H20" s="155">
        <v>4050</v>
      </c>
      <c r="I20" s="155">
        <v>6450</v>
      </c>
      <c r="J20" s="155">
        <v>2131</v>
      </c>
      <c r="K20" s="155">
        <v>1700</v>
      </c>
      <c r="L20" s="182">
        <v>2553.48</v>
      </c>
      <c r="M20" s="183">
        <v>1946.72</v>
      </c>
      <c r="N20" s="148">
        <v>2698.75</v>
      </c>
      <c r="O20" s="156">
        <v>1333.75</v>
      </c>
      <c r="P20" s="157">
        <v>2553</v>
      </c>
      <c r="Q20" s="151">
        <v>2018.73</v>
      </c>
      <c r="R20" s="151">
        <v>3000</v>
      </c>
      <c r="S20" s="152">
        <f t="shared" ref="S20:S32" si="5">SUM(B20:R20)</f>
        <v>38933.43</v>
      </c>
      <c r="T20" s="152">
        <f t="shared" ref="T20:T32" si="6">SUM(M20:Q20)</f>
        <v>10550.95</v>
      </c>
    </row>
    <row r="21" spans="1:20" ht="20.100000000000001" customHeight="1">
      <c r="A21" s="153" t="s">
        <v>30</v>
      </c>
      <c r="B21" s="181"/>
      <c r="C21" s="154">
        <v>27397</v>
      </c>
      <c r="D21" s="154">
        <v>47525</v>
      </c>
      <c r="E21" s="154">
        <v>24000</v>
      </c>
      <c r="F21" s="154">
        <v>21539</v>
      </c>
      <c r="G21" s="155">
        <v>107</v>
      </c>
      <c r="H21" s="155">
        <v>24103</v>
      </c>
      <c r="I21" s="155">
        <v>24061</v>
      </c>
      <c r="J21" s="155">
        <v>21131</v>
      </c>
      <c r="K21" s="155">
        <v>20958</v>
      </c>
      <c r="L21" s="182">
        <v>23475.05</v>
      </c>
      <c r="M21" s="183">
        <v>18580.68</v>
      </c>
      <c r="N21" s="148">
        <v>10500</v>
      </c>
      <c r="O21" s="156">
        <v>1162.5</v>
      </c>
      <c r="P21" s="157">
        <v>801</v>
      </c>
      <c r="Q21" s="151">
        <v>1025.81</v>
      </c>
      <c r="R21" s="151">
        <v>1500</v>
      </c>
      <c r="S21" s="152">
        <f t="shared" si="5"/>
        <v>267866.03999999998</v>
      </c>
      <c r="T21" s="152">
        <f t="shared" si="6"/>
        <v>32069.99</v>
      </c>
    </row>
    <row r="22" spans="1:20" ht="20.100000000000001" customHeight="1">
      <c r="A22" s="153" t="s">
        <v>31</v>
      </c>
      <c r="B22" s="181"/>
      <c r="C22" s="154"/>
      <c r="D22" s="154">
        <v>3500</v>
      </c>
      <c r="E22" s="154">
        <v>3580</v>
      </c>
      <c r="F22" s="154">
        <v>0</v>
      </c>
      <c r="G22" s="155">
        <v>0</v>
      </c>
      <c r="H22" s="155">
        <v>1405</v>
      </c>
      <c r="I22" s="155">
        <v>539</v>
      </c>
      <c r="J22" s="155">
        <v>699</v>
      </c>
      <c r="K22" s="155">
        <v>1234.6400000000001</v>
      </c>
      <c r="L22" s="182">
        <v>944.3</v>
      </c>
      <c r="M22" s="183">
        <v>299.74</v>
      </c>
      <c r="N22" s="148">
        <v>862.41</v>
      </c>
      <c r="O22" s="156">
        <v>473.28</v>
      </c>
      <c r="P22" s="157">
        <v>394.88</v>
      </c>
      <c r="Q22" s="151">
        <v>543.48</v>
      </c>
      <c r="R22" s="151">
        <v>500</v>
      </c>
      <c r="S22" s="152">
        <f t="shared" si="5"/>
        <v>14975.729999999998</v>
      </c>
      <c r="T22" s="152">
        <f t="shared" si="6"/>
        <v>2573.79</v>
      </c>
    </row>
    <row r="23" spans="1:20" ht="20.100000000000001" customHeight="1">
      <c r="A23" s="153" t="s">
        <v>32</v>
      </c>
      <c r="B23" s="181"/>
      <c r="C23" s="154"/>
      <c r="D23" s="154"/>
      <c r="E23" s="154"/>
      <c r="F23" s="154"/>
      <c r="G23" s="155"/>
      <c r="H23" s="155"/>
      <c r="I23" s="155">
        <v>1566</v>
      </c>
      <c r="J23" s="184"/>
      <c r="K23" s="184"/>
      <c r="L23" s="182">
        <v>810</v>
      </c>
      <c r="M23" s="183">
        <v>0</v>
      </c>
      <c r="N23" s="148">
        <v>0</v>
      </c>
      <c r="O23" s="156">
        <v>0</v>
      </c>
      <c r="P23" s="157">
        <v>0</v>
      </c>
      <c r="Q23" s="151">
        <v>0</v>
      </c>
      <c r="R23" s="151">
        <v>500</v>
      </c>
      <c r="S23" s="152">
        <f t="shared" si="5"/>
        <v>2876</v>
      </c>
      <c r="T23" s="152">
        <f t="shared" si="6"/>
        <v>0</v>
      </c>
    </row>
    <row r="24" spans="1:20" ht="20.100000000000001" customHeight="1">
      <c r="A24" s="153" t="s">
        <v>59</v>
      </c>
      <c r="B24" s="181"/>
      <c r="C24" s="154">
        <v>2063</v>
      </c>
      <c r="D24" s="154">
        <v>730</v>
      </c>
      <c r="E24" s="154">
        <v>1480</v>
      </c>
      <c r="F24" s="154">
        <v>1154</v>
      </c>
      <c r="G24" s="155">
        <v>2178</v>
      </c>
      <c r="H24" s="155">
        <v>1920</v>
      </c>
      <c r="I24" s="155">
        <v>704</v>
      </c>
      <c r="J24" s="155">
        <v>1477</v>
      </c>
      <c r="K24" s="155">
        <v>1033.74</v>
      </c>
      <c r="L24" s="182">
        <v>1037.95</v>
      </c>
      <c r="M24" s="183">
        <v>3082.2</v>
      </c>
      <c r="N24" s="148">
        <v>977.76</v>
      </c>
      <c r="O24" s="156">
        <v>1043.02</v>
      </c>
      <c r="P24" s="157">
        <v>978.13</v>
      </c>
      <c r="Q24" s="151">
        <v>1655.91</v>
      </c>
      <c r="R24" s="151">
        <v>1000</v>
      </c>
      <c r="S24" s="152">
        <f t="shared" si="5"/>
        <v>22514.71</v>
      </c>
      <c r="T24" s="152">
        <f t="shared" si="6"/>
        <v>7737.0199999999995</v>
      </c>
    </row>
    <row r="25" spans="1:20" ht="20.100000000000001" customHeight="1">
      <c r="A25" s="153" t="s">
        <v>111</v>
      </c>
      <c r="B25" s="181"/>
      <c r="C25" s="154"/>
      <c r="D25" s="154"/>
      <c r="E25" s="154"/>
      <c r="F25" s="154"/>
      <c r="G25" s="155"/>
      <c r="H25" s="155"/>
      <c r="I25" s="155"/>
      <c r="J25" s="155"/>
      <c r="K25" s="155">
        <v>1400.28</v>
      </c>
      <c r="L25" s="182"/>
      <c r="M25" s="183">
        <v>0</v>
      </c>
      <c r="N25" s="148">
        <v>0</v>
      </c>
      <c r="O25" s="156">
        <v>0</v>
      </c>
      <c r="P25" s="157">
        <v>0</v>
      </c>
      <c r="Q25" s="151">
        <v>0</v>
      </c>
      <c r="R25" s="151">
        <v>0</v>
      </c>
      <c r="S25" s="152">
        <f t="shared" si="5"/>
        <v>1400.28</v>
      </c>
      <c r="T25" s="152">
        <f t="shared" si="6"/>
        <v>0</v>
      </c>
    </row>
    <row r="26" spans="1:20" ht="20.100000000000001" customHeight="1">
      <c r="A26" s="153" t="s">
        <v>34</v>
      </c>
      <c r="B26" s="181"/>
      <c r="C26" s="154">
        <v>1017</v>
      </c>
      <c r="D26" s="154">
        <v>54623</v>
      </c>
      <c r="E26" s="154">
        <v>21400</v>
      </c>
      <c r="F26" s="154">
        <v>2625</v>
      </c>
      <c r="G26" s="155">
        <v>5777</v>
      </c>
      <c r="H26" s="155">
        <v>15000</v>
      </c>
      <c r="I26" s="155">
        <v>5000</v>
      </c>
      <c r="J26" s="155"/>
      <c r="K26" s="155">
        <v>9050</v>
      </c>
      <c r="L26" s="182">
        <v>0</v>
      </c>
      <c r="M26" s="183">
        <v>15000</v>
      </c>
      <c r="N26" s="148">
        <v>4500</v>
      </c>
      <c r="O26" s="156">
        <v>0</v>
      </c>
      <c r="P26" s="157">
        <v>0</v>
      </c>
      <c r="Q26" s="151">
        <v>0</v>
      </c>
      <c r="R26" s="151">
        <v>0</v>
      </c>
      <c r="S26" s="152">
        <f t="shared" si="5"/>
        <v>133992</v>
      </c>
      <c r="T26" s="152">
        <f t="shared" si="6"/>
        <v>19500</v>
      </c>
    </row>
    <row r="27" spans="1:20" ht="20.100000000000001" customHeight="1">
      <c r="A27" s="153" t="s">
        <v>35</v>
      </c>
      <c r="B27" s="181"/>
      <c r="C27" s="154"/>
      <c r="D27" s="154"/>
      <c r="E27" s="154"/>
      <c r="F27" s="154">
        <v>2323</v>
      </c>
      <c r="G27" s="155"/>
      <c r="H27" s="155">
        <v>401</v>
      </c>
      <c r="I27" s="155"/>
      <c r="J27" s="155">
        <v>2500</v>
      </c>
      <c r="K27" s="155"/>
      <c r="L27" s="182">
        <f>'[1]Operating costs'!E23</f>
        <v>2500</v>
      </c>
      <c r="M27" s="183"/>
      <c r="N27" s="148">
        <v>1000</v>
      </c>
      <c r="O27" s="156">
        <v>0</v>
      </c>
      <c r="P27" s="157">
        <v>1000</v>
      </c>
      <c r="Q27" s="151">
        <v>0</v>
      </c>
      <c r="R27" s="151">
        <v>5000</v>
      </c>
      <c r="S27" s="152">
        <f t="shared" si="5"/>
        <v>14724</v>
      </c>
      <c r="T27" s="152">
        <f t="shared" si="6"/>
        <v>2000</v>
      </c>
    </row>
    <row r="28" spans="1:20" ht="20.100000000000001" customHeight="1">
      <c r="A28" s="153" t="s">
        <v>69</v>
      </c>
      <c r="B28" s="181"/>
      <c r="C28" s="154"/>
      <c r="D28" s="154"/>
      <c r="E28" s="154"/>
      <c r="F28" s="154"/>
      <c r="G28" s="155"/>
      <c r="H28" s="155"/>
      <c r="I28" s="155"/>
      <c r="J28" s="155"/>
      <c r="K28" s="155"/>
      <c r="L28" s="182"/>
      <c r="M28" s="183"/>
      <c r="N28" s="148"/>
      <c r="O28" s="156"/>
      <c r="P28" s="157">
        <v>150</v>
      </c>
      <c r="Q28" s="151">
        <v>150.19999999999999</v>
      </c>
      <c r="R28" s="151">
        <v>0</v>
      </c>
      <c r="S28" s="152">
        <f t="shared" si="5"/>
        <v>300.2</v>
      </c>
      <c r="T28" s="152">
        <f t="shared" si="6"/>
        <v>300.2</v>
      </c>
    </row>
    <row r="29" spans="1:20" ht="20.100000000000001" customHeight="1">
      <c r="A29" s="153" t="s">
        <v>112</v>
      </c>
      <c r="B29" s="181"/>
      <c r="C29" s="154"/>
      <c r="D29" s="154"/>
      <c r="E29" s="154"/>
      <c r="F29" s="154"/>
      <c r="G29" s="155"/>
      <c r="H29" s="155"/>
      <c r="I29" s="155"/>
      <c r="J29" s="155"/>
      <c r="K29" s="155"/>
      <c r="L29" s="182"/>
      <c r="M29" s="183"/>
      <c r="N29" s="148"/>
      <c r="O29" s="156"/>
      <c r="P29" s="157">
        <v>150</v>
      </c>
      <c r="Q29" s="151">
        <v>0</v>
      </c>
      <c r="R29" s="151">
        <v>500</v>
      </c>
      <c r="S29" s="152">
        <f t="shared" si="5"/>
        <v>650</v>
      </c>
      <c r="T29" s="152">
        <f t="shared" si="6"/>
        <v>150</v>
      </c>
    </row>
    <row r="30" spans="1:20" ht="20.100000000000001" customHeight="1">
      <c r="A30" s="153" t="s">
        <v>36</v>
      </c>
      <c r="B30" s="185"/>
      <c r="C30" s="155"/>
      <c r="D30" s="155"/>
      <c r="E30" s="155"/>
      <c r="F30" s="155"/>
      <c r="G30" s="155"/>
      <c r="H30" s="155"/>
      <c r="I30" s="155"/>
      <c r="J30" s="186"/>
      <c r="K30" s="186"/>
      <c r="L30" s="182">
        <v>249</v>
      </c>
      <c r="M30" s="183">
        <v>1500</v>
      </c>
      <c r="N30" s="148">
        <v>0</v>
      </c>
      <c r="O30" s="156">
        <v>39</v>
      </c>
      <c r="P30" s="157">
        <v>0</v>
      </c>
      <c r="Q30" s="151">
        <v>0</v>
      </c>
      <c r="R30" s="151">
        <v>0</v>
      </c>
      <c r="S30" s="152">
        <f t="shared" si="5"/>
        <v>1788</v>
      </c>
      <c r="T30" s="152">
        <f t="shared" si="6"/>
        <v>1539</v>
      </c>
    </row>
    <row r="31" spans="1:20" ht="20.100000000000001" customHeight="1">
      <c r="A31" s="153" t="s">
        <v>113</v>
      </c>
      <c r="B31" s="185"/>
      <c r="C31" s="155"/>
      <c r="D31" s="155"/>
      <c r="E31" s="155"/>
      <c r="F31" s="155"/>
      <c r="G31" s="155"/>
      <c r="H31" s="155"/>
      <c r="I31" s="155"/>
      <c r="J31" s="186"/>
      <c r="K31" s="155">
        <v>1304.27</v>
      </c>
      <c r="L31" s="182">
        <v>0</v>
      </c>
      <c r="M31" s="183">
        <v>0</v>
      </c>
      <c r="N31" s="148">
        <v>0</v>
      </c>
      <c r="O31" s="156">
        <v>0</v>
      </c>
      <c r="P31" s="157">
        <v>0</v>
      </c>
      <c r="Q31" s="151">
        <v>0</v>
      </c>
      <c r="R31" s="151">
        <v>0</v>
      </c>
      <c r="S31" s="152">
        <f t="shared" si="5"/>
        <v>1304.27</v>
      </c>
      <c r="T31" s="152">
        <f t="shared" si="6"/>
        <v>0</v>
      </c>
    </row>
    <row r="32" spans="1:20" ht="20.100000000000001" customHeight="1" thickBot="1">
      <c r="A32" s="158" t="s">
        <v>1</v>
      </c>
      <c r="B32" s="187"/>
      <c r="C32" s="188"/>
      <c r="D32" s="188" t="s">
        <v>1</v>
      </c>
      <c r="E32" s="188"/>
      <c r="F32" s="188"/>
      <c r="G32" s="188" t="s">
        <v>1</v>
      </c>
      <c r="H32" s="188"/>
      <c r="I32" s="188"/>
      <c r="J32" s="188"/>
      <c r="K32" s="188"/>
      <c r="L32" s="189"/>
      <c r="M32" s="190"/>
      <c r="N32" s="191"/>
      <c r="O32" s="162"/>
      <c r="P32" s="163">
        <v>0</v>
      </c>
      <c r="Q32" s="164"/>
      <c r="R32" s="164"/>
      <c r="S32" s="152">
        <f t="shared" si="5"/>
        <v>0</v>
      </c>
      <c r="T32" s="152">
        <f t="shared" si="6"/>
        <v>0</v>
      </c>
    </row>
    <row r="33" spans="1:20" ht="20.100000000000001" customHeight="1" thickBot="1">
      <c r="A33" s="193" t="s">
        <v>114</v>
      </c>
      <c r="B33" s="194">
        <f t="shared" ref="B33:T33" si="7">SUM(B19:B32)</f>
        <v>0</v>
      </c>
      <c r="C33" s="194">
        <f t="shared" si="7"/>
        <v>31867</v>
      </c>
      <c r="D33" s="194">
        <f t="shared" si="7"/>
        <v>107469</v>
      </c>
      <c r="E33" s="194">
        <f t="shared" si="7"/>
        <v>51686</v>
      </c>
      <c r="F33" s="194">
        <f t="shared" si="7"/>
        <v>34939</v>
      </c>
      <c r="G33" s="194">
        <f t="shared" si="7"/>
        <v>11579</v>
      </c>
      <c r="H33" s="194">
        <f t="shared" si="7"/>
        <v>48110</v>
      </c>
      <c r="I33" s="194">
        <f t="shared" si="7"/>
        <v>39645</v>
      </c>
      <c r="J33" s="195">
        <f t="shared" si="7"/>
        <v>29293</v>
      </c>
      <c r="K33" s="196">
        <f t="shared" si="7"/>
        <v>38229.919999999991</v>
      </c>
      <c r="L33" s="196">
        <f t="shared" si="7"/>
        <v>33149.46</v>
      </c>
      <c r="M33" s="196">
        <f t="shared" ref="M33:S33" si="8">SUM(M19:M32)</f>
        <v>42098.41</v>
      </c>
      <c r="N33" s="196">
        <f t="shared" si="8"/>
        <v>22165.75</v>
      </c>
      <c r="O33" s="196">
        <f t="shared" si="8"/>
        <v>5646.92</v>
      </c>
      <c r="P33" s="196">
        <f t="shared" si="8"/>
        <v>7584.02</v>
      </c>
      <c r="Q33" s="167">
        <f t="shared" si="8"/>
        <v>7122.0599999999986</v>
      </c>
      <c r="R33" s="167">
        <f t="shared" si="8"/>
        <v>13250</v>
      </c>
      <c r="S33" s="166">
        <f t="shared" si="8"/>
        <v>523834.54000000004</v>
      </c>
      <c r="T33" s="197">
        <f t="shared" si="7"/>
        <v>84617.159999999989</v>
      </c>
    </row>
    <row r="34" spans="1:20" ht="20.100000000000001" customHeight="1" thickBot="1">
      <c r="A34" s="198" t="s">
        <v>115</v>
      </c>
      <c r="B34" s="199"/>
      <c r="C34" s="170"/>
      <c r="D34" s="170"/>
      <c r="E34" s="170"/>
      <c r="F34" s="170"/>
      <c r="G34" s="170"/>
      <c r="H34" s="170"/>
      <c r="I34" s="170"/>
      <c r="J34" s="171"/>
      <c r="K34" s="172"/>
      <c r="L34" s="173"/>
      <c r="M34" s="173">
        <f t="shared" ref="M34:O34" si="9">L34+M33</f>
        <v>42098.41</v>
      </c>
      <c r="N34" s="173">
        <f t="shared" si="9"/>
        <v>64264.160000000003</v>
      </c>
      <c r="O34" s="173">
        <f t="shared" si="9"/>
        <v>69911.08</v>
      </c>
      <c r="P34" s="270">
        <f>O34+P33</f>
        <v>77495.100000000006</v>
      </c>
      <c r="Q34" s="270">
        <f>P34+Q33</f>
        <v>84617.16</v>
      </c>
      <c r="R34" s="270">
        <f>Q34+R33</f>
        <v>97867.16</v>
      </c>
      <c r="S34" s="170"/>
      <c r="T34" s="174"/>
    </row>
    <row r="35" spans="1:20" ht="20.100000000000001" customHeight="1" thickBot="1">
      <c r="A35" s="426"/>
      <c r="B35" s="427"/>
      <c r="C35" s="427"/>
      <c r="D35" s="427"/>
      <c r="E35" s="427"/>
      <c r="F35" s="427"/>
      <c r="G35" s="427"/>
      <c r="H35" s="427"/>
      <c r="I35" s="427"/>
      <c r="J35" s="427"/>
      <c r="K35" s="427"/>
      <c r="L35" s="427"/>
      <c r="M35" s="427"/>
      <c r="N35" s="427"/>
      <c r="O35" s="427"/>
      <c r="P35" s="427"/>
      <c r="Q35" s="427"/>
      <c r="R35" s="427"/>
      <c r="S35" s="427"/>
      <c r="T35" s="428"/>
    </row>
    <row r="36" spans="1:20" ht="20.100000000000001" customHeight="1" thickBot="1">
      <c r="A36" s="435" t="s">
        <v>116</v>
      </c>
      <c r="B36" s="436"/>
      <c r="C36" s="436"/>
      <c r="D36" s="436"/>
      <c r="E36" s="436"/>
      <c r="F36" s="436"/>
      <c r="G36" s="436"/>
      <c r="H36" s="436"/>
      <c r="I36" s="436"/>
      <c r="J36" s="436"/>
      <c r="K36" s="436"/>
      <c r="L36" s="436"/>
      <c r="M36" s="436"/>
      <c r="N36" s="436"/>
      <c r="O36" s="436"/>
      <c r="P36" s="436"/>
      <c r="Q36" s="436"/>
      <c r="R36" s="436"/>
      <c r="S36" s="436"/>
      <c r="T36" s="437"/>
    </row>
    <row r="37" spans="1:20" ht="20.100000000000001" customHeight="1">
      <c r="A37" s="175" t="s">
        <v>117</v>
      </c>
      <c r="B37" s="200"/>
      <c r="C37" s="178"/>
      <c r="D37" s="178"/>
      <c r="E37" s="178"/>
      <c r="F37" s="178"/>
      <c r="G37" s="147"/>
      <c r="H37" s="147">
        <v>300</v>
      </c>
      <c r="I37" s="147"/>
      <c r="J37" s="147"/>
      <c r="K37" s="147">
        <v>7000</v>
      </c>
      <c r="L37" s="179">
        <v>0</v>
      </c>
      <c r="M37" s="180">
        <v>0</v>
      </c>
      <c r="N37" s="148"/>
      <c r="O37" s="149">
        <v>0</v>
      </c>
      <c r="P37" s="150">
        <v>0</v>
      </c>
      <c r="Q37" s="151">
        <v>0</v>
      </c>
      <c r="R37" s="151">
        <v>0</v>
      </c>
      <c r="S37" s="152">
        <f t="shared" ref="S37:S45" si="10">SUM(B37:R37)</f>
        <v>7300</v>
      </c>
      <c r="T37" s="152">
        <f>SUM(M37:Q37)</f>
        <v>0</v>
      </c>
    </row>
    <row r="38" spans="1:20" ht="20.100000000000001" customHeight="1">
      <c r="A38" s="153" t="s">
        <v>29</v>
      </c>
      <c r="B38" s="181"/>
      <c r="C38" s="154"/>
      <c r="D38" s="154">
        <v>7000</v>
      </c>
      <c r="E38" s="154">
        <v>14000</v>
      </c>
      <c r="F38" s="154">
        <v>14000</v>
      </c>
      <c r="G38" s="155">
        <v>5000</v>
      </c>
      <c r="H38" s="155">
        <v>6000</v>
      </c>
      <c r="I38" s="155">
        <v>14000</v>
      </c>
      <c r="J38" s="155">
        <v>14000</v>
      </c>
      <c r="K38" s="155">
        <v>14000</v>
      </c>
      <c r="L38" s="182">
        <f>'[1]Operating costs'!E28</f>
        <v>14000</v>
      </c>
      <c r="M38" s="180">
        <v>14000</v>
      </c>
      <c r="N38" s="148">
        <v>10000</v>
      </c>
      <c r="O38" s="156">
        <v>10000</v>
      </c>
      <c r="P38" s="157">
        <v>5000</v>
      </c>
      <c r="Q38" s="151">
        <v>0</v>
      </c>
      <c r="R38" s="151">
        <v>0</v>
      </c>
      <c r="S38" s="152">
        <f t="shared" si="10"/>
        <v>141000</v>
      </c>
      <c r="T38" s="152">
        <f t="shared" ref="T38:T45" si="11">SUM(M38:Q38)</f>
        <v>39000</v>
      </c>
    </row>
    <row r="39" spans="1:20" ht="20.100000000000001" customHeight="1">
      <c r="A39" s="153" t="s">
        <v>118</v>
      </c>
      <c r="B39" s="181"/>
      <c r="C39" s="154">
        <v>200</v>
      </c>
      <c r="D39" s="154">
        <v>1814</v>
      </c>
      <c r="E39" s="154">
        <v>2808</v>
      </c>
      <c r="F39" s="154">
        <v>2813</v>
      </c>
      <c r="G39" s="155">
        <v>3063</v>
      </c>
      <c r="H39" s="155">
        <v>1114</v>
      </c>
      <c r="I39" s="155">
        <v>2589</v>
      </c>
      <c r="J39" s="155">
        <v>2591</v>
      </c>
      <c r="K39" s="155">
        <v>3199.43</v>
      </c>
      <c r="L39" s="182">
        <v>2800</v>
      </c>
      <c r="M39" s="180">
        <v>5475</v>
      </c>
      <c r="N39" s="148">
        <v>3457.41</v>
      </c>
      <c r="O39" s="156">
        <v>3672.65</v>
      </c>
      <c r="P39" s="157">
        <v>3752.19</v>
      </c>
      <c r="Q39" s="151">
        <v>3169.83</v>
      </c>
      <c r="R39" s="151">
        <v>0</v>
      </c>
      <c r="S39" s="152">
        <f t="shared" si="10"/>
        <v>42518.51</v>
      </c>
      <c r="T39" s="152">
        <f t="shared" si="11"/>
        <v>19527.080000000002</v>
      </c>
    </row>
    <row r="40" spans="1:20" ht="20.100000000000001" customHeight="1">
      <c r="A40" s="153" t="s">
        <v>148</v>
      </c>
      <c r="B40" s="185"/>
      <c r="C40" s="155">
        <v>625</v>
      </c>
      <c r="D40" s="155">
        <v>5000</v>
      </c>
      <c r="E40" s="155"/>
      <c r="F40" s="155">
        <v>1000</v>
      </c>
      <c r="G40" s="155"/>
      <c r="H40" s="155"/>
      <c r="I40" s="155">
        <v>5000</v>
      </c>
      <c r="J40" s="155">
        <v>200</v>
      </c>
      <c r="K40" s="155">
        <v>832</v>
      </c>
      <c r="L40" s="201">
        <v>12140</v>
      </c>
      <c r="M40" s="180">
        <v>14000</v>
      </c>
      <c r="N40" s="148">
        <v>6800</v>
      </c>
      <c r="O40" s="156">
        <v>10884</v>
      </c>
      <c r="P40" s="157">
        <v>9100</v>
      </c>
      <c r="Q40" s="151">
        <v>9600</v>
      </c>
      <c r="R40" s="151">
        <v>25000</v>
      </c>
      <c r="S40" s="152">
        <f t="shared" si="10"/>
        <v>100181</v>
      </c>
      <c r="T40" s="152">
        <f t="shared" si="11"/>
        <v>50384</v>
      </c>
    </row>
    <row r="41" spans="1:20" ht="20.100000000000001" customHeight="1">
      <c r="A41" s="153" t="s">
        <v>163</v>
      </c>
      <c r="B41" s="185"/>
      <c r="C41" s="155"/>
      <c r="D41" s="155"/>
      <c r="E41" s="155"/>
      <c r="F41" s="155"/>
      <c r="G41" s="155"/>
      <c r="H41" s="155"/>
      <c r="I41" s="155"/>
      <c r="J41" s="155"/>
      <c r="K41" s="155"/>
      <c r="L41" s="201"/>
      <c r="M41" s="180"/>
      <c r="N41" s="148"/>
      <c r="O41" s="156"/>
      <c r="P41" s="157"/>
      <c r="Q41" s="151">
        <v>25000</v>
      </c>
      <c r="R41" s="151">
        <v>0</v>
      </c>
      <c r="S41" s="152"/>
      <c r="T41" s="152"/>
    </row>
    <row r="42" spans="1:20" ht="20.100000000000001" customHeight="1">
      <c r="A42" s="153" t="s">
        <v>119</v>
      </c>
      <c r="B42" s="185"/>
      <c r="C42" s="155"/>
      <c r="D42" s="155"/>
      <c r="E42" s="155"/>
      <c r="F42" s="155"/>
      <c r="G42" s="155"/>
      <c r="H42" s="155"/>
      <c r="I42" s="155"/>
      <c r="J42" s="155">
        <v>5000</v>
      </c>
      <c r="K42" s="155">
        <v>5220</v>
      </c>
      <c r="L42" s="182">
        <f>'[1]Operating costs'!E31</f>
        <v>5000</v>
      </c>
      <c r="M42" s="180">
        <v>5000</v>
      </c>
      <c r="N42" s="148">
        <v>10000</v>
      </c>
      <c r="O42" s="156">
        <v>0</v>
      </c>
      <c r="P42" s="157">
        <v>0</v>
      </c>
      <c r="Q42" s="151">
        <v>0</v>
      </c>
      <c r="R42" s="151">
        <v>0</v>
      </c>
      <c r="S42" s="152">
        <f t="shared" si="10"/>
        <v>30220</v>
      </c>
      <c r="T42" s="152">
        <f t="shared" si="11"/>
        <v>15000</v>
      </c>
    </row>
    <row r="43" spans="1:20" ht="20.100000000000001" customHeight="1">
      <c r="A43" s="153" t="s">
        <v>120</v>
      </c>
      <c r="B43" s="181"/>
      <c r="C43" s="154"/>
      <c r="D43" s="154"/>
      <c r="E43" s="154">
        <v>2500</v>
      </c>
      <c r="F43" s="154">
        <v>5000</v>
      </c>
      <c r="G43" s="155">
        <v>5000</v>
      </c>
      <c r="H43" s="155">
        <v>2500</v>
      </c>
      <c r="I43" s="155"/>
      <c r="J43" s="155"/>
      <c r="K43" s="155"/>
      <c r="L43" s="182"/>
      <c r="M43" s="180"/>
      <c r="N43" s="148"/>
      <c r="O43" s="156">
        <v>0</v>
      </c>
      <c r="P43" s="157">
        <v>0</v>
      </c>
      <c r="Q43" s="151">
        <v>0</v>
      </c>
      <c r="R43" s="151">
        <v>0</v>
      </c>
      <c r="S43" s="152">
        <f t="shared" si="10"/>
        <v>15000</v>
      </c>
      <c r="T43" s="152">
        <f t="shared" si="11"/>
        <v>0</v>
      </c>
    </row>
    <row r="44" spans="1:20" ht="20.100000000000001" customHeight="1">
      <c r="A44" s="158" t="s">
        <v>97</v>
      </c>
      <c r="B44" s="202"/>
      <c r="C44" s="203"/>
      <c r="D44" s="203"/>
      <c r="E44" s="203"/>
      <c r="F44" s="203"/>
      <c r="G44" s="159"/>
      <c r="H44" s="159"/>
      <c r="I44" s="159"/>
      <c r="J44" s="159"/>
      <c r="K44" s="159"/>
      <c r="L44" s="204"/>
      <c r="M44" s="205"/>
      <c r="N44" s="206"/>
      <c r="O44" s="207">
        <v>0</v>
      </c>
      <c r="P44" s="208">
        <v>0</v>
      </c>
      <c r="Q44" s="209">
        <v>500</v>
      </c>
      <c r="R44" s="271">
        <v>1000</v>
      </c>
      <c r="S44" s="152">
        <f t="shared" si="10"/>
        <v>1500</v>
      </c>
      <c r="T44" s="152">
        <f t="shared" si="11"/>
        <v>500</v>
      </c>
    </row>
    <row r="45" spans="1:20" ht="20.100000000000001" customHeight="1" thickBot="1">
      <c r="A45" s="210" t="s">
        <v>121</v>
      </c>
      <c r="B45" s="187"/>
      <c r="C45" s="188"/>
      <c r="D45" s="188" t="s">
        <v>1</v>
      </c>
      <c r="E45" s="188"/>
      <c r="F45" s="188"/>
      <c r="G45" s="188" t="s">
        <v>1</v>
      </c>
      <c r="H45" s="188"/>
      <c r="I45" s="188"/>
      <c r="J45" s="188"/>
      <c r="K45" s="188"/>
      <c r="L45" s="189"/>
      <c r="M45" s="190">
        <v>1501.33</v>
      </c>
      <c r="N45" s="191">
        <v>1486.4</v>
      </c>
      <c r="O45" s="162">
        <v>0</v>
      </c>
      <c r="P45" s="163">
        <v>758.64</v>
      </c>
      <c r="Q45" s="164">
        <v>0</v>
      </c>
      <c r="R45" s="164">
        <v>1000</v>
      </c>
      <c r="S45" s="192">
        <f t="shared" si="10"/>
        <v>4746.37</v>
      </c>
      <c r="T45" s="152">
        <f t="shared" si="11"/>
        <v>3746.37</v>
      </c>
    </row>
    <row r="46" spans="1:20" ht="20.100000000000001" customHeight="1" thickBot="1">
      <c r="A46" s="137" t="s">
        <v>122</v>
      </c>
      <c r="B46" s="194">
        <f t="shared" ref="B46:Q46" si="12">SUM(B37:B45)</f>
        <v>0</v>
      </c>
      <c r="C46" s="194">
        <f t="shared" si="12"/>
        <v>825</v>
      </c>
      <c r="D46" s="194">
        <f t="shared" si="12"/>
        <v>13814</v>
      </c>
      <c r="E46" s="194">
        <f t="shared" si="12"/>
        <v>19308</v>
      </c>
      <c r="F46" s="194">
        <f t="shared" si="12"/>
        <v>22813</v>
      </c>
      <c r="G46" s="194">
        <f t="shared" si="12"/>
        <v>13063</v>
      </c>
      <c r="H46" s="194">
        <f t="shared" si="12"/>
        <v>9914</v>
      </c>
      <c r="I46" s="194">
        <f t="shared" si="12"/>
        <v>21589</v>
      </c>
      <c r="J46" s="167">
        <f t="shared" si="12"/>
        <v>21791</v>
      </c>
      <c r="K46" s="167">
        <f t="shared" si="12"/>
        <v>30251.43</v>
      </c>
      <c r="L46" s="167">
        <f t="shared" si="12"/>
        <v>33940</v>
      </c>
      <c r="M46" s="167">
        <f t="shared" si="12"/>
        <v>39976.33</v>
      </c>
      <c r="N46" s="211">
        <f t="shared" si="12"/>
        <v>31743.81</v>
      </c>
      <c r="O46" s="167">
        <f t="shared" si="12"/>
        <v>24556.65</v>
      </c>
      <c r="P46" s="211">
        <f t="shared" si="12"/>
        <v>18610.830000000002</v>
      </c>
      <c r="Q46" s="167">
        <f t="shared" si="12"/>
        <v>38269.83</v>
      </c>
      <c r="R46" s="167">
        <f>SUM(R37:R45)</f>
        <v>27000</v>
      </c>
      <c r="S46" s="166">
        <f>SUM(S37:S45)</f>
        <v>342465.88</v>
      </c>
      <c r="T46" s="166">
        <f>SUM(T37:T45)</f>
        <v>128157.45</v>
      </c>
    </row>
    <row r="47" spans="1:20" ht="20.100000000000001" customHeight="1" thickBot="1">
      <c r="A47" s="212" t="s">
        <v>123</v>
      </c>
      <c r="B47" s="170"/>
      <c r="C47" s="170"/>
      <c r="D47" s="170"/>
      <c r="E47" s="170"/>
      <c r="F47" s="170"/>
      <c r="G47" s="170"/>
      <c r="H47" s="170"/>
      <c r="I47" s="170"/>
      <c r="J47" s="171"/>
      <c r="K47" s="172"/>
      <c r="L47" s="173"/>
      <c r="M47" s="173">
        <f t="shared" ref="M47:O47" si="13">L47+M46</f>
        <v>39976.33</v>
      </c>
      <c r="N47" s="173">
        <f t="shared" si="13"/>
        <v>71720.14</v>
      </c>
      <c r="O47" s="173">
        <f t="shared" si="13"/>
        <v>96276.790000000008</v>
      </c>
      <c r="P47" s="270">
        <f>O47+P46</f>
        <v>114887.62000000001</v>
      </c>
      <c r="Q47" s="270">
        <f>P47+Q46</f>
        <v>153157.45000000001</v>
      </c>
      <c r="R47" s="270">
        <f>Q47+R46</f>
        <v>180157.45</v>
      </c>
      <c r="S47" s="170"/>
      <c r="T47" s="174"/>
    </row>
    <row r="48" spans="1:20" ht="20.100000000000001" customHeight="1" thickBot="1">
      <c r="A48" s="426"/>
      <c r="B48" s="427"/>
      <c r="C48" s="427"/>
      <c r="D48" s="427"/>
      <c r="E48" s="427"/>
      <c r="F48" s="427"/>
      <c r="G48" s="427"/>
      <c r="H48" s="427"/>
      <c r="I48" s="427"/>
      <c r="J48" s="427"/>
      <c r="K48" s="427"/>
      <c r="L48" s="427"/>
      <c r="M48" s="427"/>
      <c r="N48" s="427"/>
      <c r="O48" s="427"/>
      <c r="P48" s="427"/>
      <c r="Q48" s="427"/>
      <c r="R48" s="427"/>
      <c r="S48" s="427"/>
      <c r="T48" s="428"/>
    </row>
    <row r="49" spans="1:33" ht="20.100000000000001" customHeight="1" thickBot="1">
      <c r="A49" s="435" t="s">
        <v>124</v>
      </c>
      <c r="B49" s="436"/>
      <c r="C49" s="436"/>
      <c r="D49" s="436"/>
      <c r="E49" s="436"/>
      <c r="F49" s="436"/>
      <c r="G49" s="436"/>
      <c r="H49" s="436"/>
      <c r="I49" s="436"/>
      <c r="J49" s="436"/>
      <c r="K49" s="436"/>
      <c r="L49" s="436"/>
      <c r="M49" s="436"/>
      <c r="N49" s="436"/>
      <c r="O49" s="436"/>
      <c r="P49" s="436"/>
      <c r="Q49" s="436"/>
      <c r="R49" s="436"/>
      <c r="S49" s="436"/>
      <c r="T49" s="437"/>
    </row>
    <row r="50" spans="1:33" ht="20.100000000000001" customHeight="1">
      <c r="A50" s="213" t="s">
        <v>8</v>
      </c>
      <c r="B50" s="214"/>
      <c r="C50" s="215"/>
      <c r="D50" s="215"/>
      <c r="E50" s="215"/>
      <c r="F50" s="215"/>
      <c r="G50" s="214"/>
      <c r="H50" s="215"/>
      <c r="I50" s="215"/>
      <c r="J50" s="179"/>
      <c r="K50" s="179"/>
      <c r="L50" s="179">
        <f>'[1]Operating costs'!E35</f>
        <v>0</v>
      </c>
      <c r="M50" s="180"/>
      <c r="N50" s="148">
        <v>0</v>
      </c>
      <c r="O50" s="149">
        <v>0</v>
      </c>
      <c r="P50" s="150">
        <v>0</v>
      </c>
      <c r="Q50" s="151">
        <v>0</v>
      </c>
      <c r="R50" s="151">
        <v>0</v>
      </c>
      <c r="S50" s="152">
        <f>SUM(B50:R50)</f>
        <v>0</v>
      </c>
      <c r="T50" s="152">
        <f>SUM(L50:R50)</f>
        <v>0</v>
      </c>
    </row>
    <row r="51" spans="1:33" ht="20.100000000000001" customHeight="1" thickBot="1">
      <c r="A51" s="216" t="s">
        <v>1</v>
      </c>
      <c r="B51" s="187"/>
      <c r="C51" s="217"/>
      <c r="D51" s="217"/>
      <c r="E51" s="217"/>
      <c r="F51" s="217"/>
      <c r="G51" s="187"/>
      <c r="H51" s="217"/>
      <c r="I51" s="217"/>
      <c r="J51" s="189"/>
      <c r="K51" s="189"/>
      <c r="L51" s="189">
        <v>0</v>
      </c>
      <c r="M51" s="218"/>
      <c r="N51" s="206">
        <v>0</v>
      </c>
      <c r="O51" s="219">
        <v>0</v>
      </c>
      <c r="P51" s="220">
        <v>0</v>
      </c>
      <c r="Q51" s="164">
        <v>0</v>
      </c>
      <c r="R51" s="164">
        <v>0</v>
      </c>
      <c r="S51" s="152">
        <f>SUM(B51:R51)</f>
        <v>0</v>
      </c>
      <c r="T51" s="152">
        <f>SUM(L51:R51)</f>
        <v>0</v>
      </c>
    </row>
    <row r="52" spans="1:33" ht="20.100000000000001" customHeight="1" thickBot="1">
      <c r="A52" s="221" t="s">
        <v>125</v>
      </c>
      <c r="B52" s="222">
        <f t="shared" ref="B52:T52" si="14">SUM(B50:B51)</f>
        <v>0</v>
      </c>
      <c r="C52" s="222">
        <f t="shared" si="14"/>
        <v>0</v>
      </c>
      <c r="D52" s="222">
        <f t="shared" si="14"/>
        <v>0</v>
      </c>
      <c r="E52" s="222">
        <f t="shared" si="14"/>
        <v>0</v>
      </c>
      <c r="F52" s="222">
        <f t="shared" si="14"/>
        <v>0</v>
      </c>
      <c r="G52" s="222">
        <f t="shared" si="14"/>
        <v>0</v>
      </c>
      <c r="H52" s="222">
        <f t="shared" si="14"/>
        <v>0</v>
      </c>
      <c r="I52" s="222">
        <f t="shared" si="14"/>
        <v>0</v>
      </c>
      <c r="J52" s="222">
        <f t="shared" si="14"/>
        <v>0</v>
      </c>
      <c r="K52" s="223">
        <f t="shared" si="14"/>
        <v>0</v>
      </c>
      <c r="L52" s="223">
        <f>SUM(L50:L51)</f>
        <v>0</v>
      </c>
      <c r="M52" s="224">
        <v>0</v>
      </c>
      <c r="N52" s="224">
        <f>SUM(N50:N51)</f>
        <v>0</v>
      </c>
      <c r="O52" s="224">
        <v>0</v>
      </c>
      <c r="P52" s="224">
        <v>0</v>
      </c>
      <c r="Q52" s="224">
        <v>0</v>
      </c>
      <c r="R52" s="224">
        <v>0</v>
      </c>
      <c r="S52" s="225">
        <f t="shared" si="14"/>
        <v>0</v>
      </c>
      <c r="T52" s="225">
        <f t="shared" si="14"/>
        <v>0</v>
      </c>
    </row>
    <row r="53" spans="1:33" ht="20.100000000000001" customHeight="1" thickBot="1">
      <c r="A53" s="221" t="s">
        <v>9</v>
      </c>
      <c r="B53" s="226">
        <f t="shared" ref="B53:M53" si="15">B46+B33+B15</f>
        <v>113</v>
      </c>
      <c r="C53" s="226">
        <f t="shared" si="15"/>
        <v>32840</v>
      </c>
      <c r="D53" s="226">
        <f t="shared" si="15"/>
        <v>122040</v>
      </c>
      <c r="E53" s="226">
        <f t="shared" si="15"/>
        <v>74873</v>
      </c>
      <c r="F53" s="226">
        <f t="shared" si="15"/>
        <v>62575</v>
      </c>
      <c r="G53" s="226">
        <f t="shared" si="15"/>
        <v>28911</v>
      </c>
      <c r="H53" s="226">
        <f t="shared" si="15"/>
        <v>75915</v>
      </c>
      <c r="I53" s="226">
        <f t="shared" si="15"/>
        <v>92534</v>
      </c>
      <c r="J53" s="226">
        <f t="shared" si="15"/>
        <v>71469</v>
      </c>
      <c r="K53" s="227">
        <f t="shared" si="15"/>
        <v>96941.98</v>
      </c>
      <c r="L53" s="228">
        <f t="shared" si="15"/>
        <v>91026.01999999999</v>
      </c>
      <c r="M53" s="229">
        <f t="shared" si="15"/>
        <v>108297.83000000002</v>
      </c>
      <c r="N53" s="230">
        <f>N52+N46+N33+N15</f>
        <v>84459.95</v>
      </c>
      <c r="O53" s="230">
        <f>O52+O46+O33+O15</f>
        <v>57007.72</v>
      </c>
      <c r="P53" s="230">
        <f>P52+P46+P33+P15</f>
        <v>46853.82</v>
      </c>
      <c r="Q53" s="230">
        <f>Q52+Q46+Q33+Q15</f>
        <v>72121.91</v>
      </c>
      <c r="R53" s="230">
        <f>R52+R46+R33+R15</f>
        <v>70650</v>
      </c>
      <c r="S53" s="231">
        <f>S46+S33+S15+S52</f>
        <v>1163629.23</v>
      </c>
      <c r="T53" s="231">
        <f>T46+T33+T15+T52</f>
        <v>343741.23</v>
      </c>
    </row>
    <row r="54" spans="1:33" ht="20.100000000000001" customHeight="1">
      <c r="A54" s="232"/>
      <c r="B54" s="233"/>
      <c r="C54" s="233"/>
      <c r="D54" s="233"/>
      <c r="E54" s="233"/>
      <c r="F54" s="233"/>
      <c r="G54" s="233"/>
      <c r="H54" s="233"/>
      <c r="I54" s="233"/>
      <c r="J54" s="233"/>
      <c r="K54" s="233"/>
      <c r="L54" s="233"/>
      <c r="M54" s="233"/>
      <c r="N54" s="233"/>
      <c r="O54" s="233"/>
      <c r="P54" s="233"/>
      <c r="Q54" s="233"/>
      <c r="R54" s="233"/>
      <c r="S54" s="233"/>
      <c r="T54" s="233"/>
      <c r="U54" s="234"/>
      <c r="V54" s="234"/>
      <c r="W54" s="234"/>
      <c r="X54" s="234"/>
      <c r="Y54" s="234"/>
      <c r="Z54" s="234"/>
      <c r="AA54" s="234"/>
      <c r="AB54" s="234"/>
      <c r="AC54" s="234"/>
      <c r="AD54" s="234"/>
      <c r="AE54" s="234"/>
      <c r="AF54" s="234"/>
      <c r="AG54" s="234"/>
    </row>
    <row r="55" spans="1:33" ht="20.100000000000001" customHeight="1">
      <c r="A55" s="232"/>
      <c r="B55" s="233"/>
      <c r="C55" s="233"/>
      <c r="D55" s="233"/>
      <c r="E55" s="233"/>
      <c r="F55" s="233"/>
      <c r="G55" s="233"/>
      <c r="H55" s="233"/>
      <c r="I55" s="233"/>
      <c r="J55" s="233"/>
      <c r="K55" s="233"/>
      <c r="L55" s="233"/>
      <c r="M55" s="233"/>
      <c r="N55" s="233"/>
      <c r="O55" s="233"/>
      <c r="P55" s="233"/>
      <c r="Q55" s="233"/>
      <c r="R55" s="233"/>
      <c r="S55" s="233"/>
      <c r="T55" s="233"/>
      <c r="U55" s="234"/>
      <c r="V55" s="234"/>
      <c r="W55" s="234"/>
      <c r="X55" s="234"/>
      <c r="Y55" s="234"/>
      <c r="Z55" s="234"/>
      <c r="AA55" s="234"/>
      <c r="AB55" s="234"/>
      <c r="AC55" s="234"/>
      <c r="AD55" s="234"/>
      <c r="AE55" s="234"/>
      <c r="AF55" s="234"/>
      <c r="AG55" s="234"/>
    </row>
    <row r="56" spans="1:33" ht="20.100000000000001" customHeight="1">
      <c r="A56" s="232"/>
      <c r="B56" s="233"/>
      <c r="C56" s="233"/>
      <c r="D56" s="233"/>
      <c r="E56" s="233"/>
      <c r="F56" s="444" t="s">
        <v>115</v>
      </c>
      <c r="G56" s="444"/>
      <c r="H56" s="444"/>
      <c r="I56" s="444"/>
      <c r="J56" s="233">
        <f>J33</f>
        <v>29293</v>
      </c>
      <c r="K56" s="233">
        <f>J56+K33</f>
        <v>67522.919999999984</v>
      </c>
      <c r="L56" s="233">
        <f>K56+L33</f>
        <v>100672.37999999998</v>
      </c>
      <c r="M56" s="233">
        <f>L56+M33</f>
        <v>142770.78999999998</v>
      </c>
      <c r="N56" s="233">
        <f>M56+N33</f>
        <v>164936.53999999998</v>
      </c>
      <c r="O56" s="233">
        <f>N56+O33</f>
        <v>170583.46</v>
      </c>
      <c r="P56" s="233"/>
      <c r="Q56" s="233"/>
      <c r="R56" s="233"/>
      <c r="S56" s="233"/>
      <c r="T56" s="233"/>
      <c r="U56" s="234"/>
      <c r="V56" s="234"/>
      <c r="W56" s="234"/>
      <c r="X56" s="234"/>
      <c r="Y56" s="234"/>
      <c r="Z56" s="234"/>
      <c r="AA56" s="234"/>
      <c r="AB56" s="234"/>
      <c r="AC56" s="234"/>
      <c r="AD56" s="234"/>
      <c r="AE56" s="234"/>
      <c r="AF56" s="234"/>
      <c r="AG56" s="234"/>
    </row>
    <row r="57" spans="1:33" ht="20.100000000000001" customHeight="1">
      <c r="A57" s="232"/>
      <c r="B57" s="233"/>
      <c r="C57" s="233"/>
      <c r="D57" s="233"/>
      <c r="E57" s="233"/>
      <c r="F57" s="235"/>
      <c r="G57" s="235"/>
      <c r="H57" s="235"/>
      <c r="I57" s="235"/>
      <c r="J57" s="233"/>
      <c r="K57" s="233"/>
      <c r="L57" s="233"/>
      <c r="M57" s="233"/>
      <c r="N57" s="233"/>
      <c r="O57" s="233"/>
      <c r="P57" s="233"/>
      <c r="Q57" s="233"/>
      <c r="R57" s="233"/>
      <c r="S57" s="233"/>
      <c r="T57" s="233"/>
      <c r="U57" s="234"/>
      <c r="V57" s="234"/>
      <c r="W57" s="234"/>
      <c r="X57" s="234"/>
      <c r="Y57" s="234"/>
      <c r="Z57" s="234"/>
      <c r="AA57" s="234"/>
      <c r="AB57" s="234"/>
      <c r="AC57" s="234"/>
      <c r="AD57" s="234"/>
      <c r="AE57" s="234"/>
      <c r="AF57" s="234"/>
      <c r="AG57" s="234"/>
    </row>
    <row r="58" spans="1:33" ht="20.100000000000001" customHeight="1">
      <c r="A58" s="232"/>
      <c r="B58" s="233"/>
      <c r="C58" s="233"/>
      <c r="D58" s="233"/>
      <c r="E58" s="233"/>
      <c r="F58" s="444" t="s">
        <v>126</v>
      </c>
      <c r="G58" s="444"/>
      <c r="H58" s="444"/>
      <c r="I58" s="444"/>
      <c r="J58" s="233">
        <f>J46</f>
        <v>21791</v>
      </c>
      <c r="K58" s="233">
        <f>J58+K46</f>
        <v>52042.43</v>
      </c>
      <c r="L58" s="233">
        <f>K58+L46</f>
        <v>85982.43</v>
      </c>
      <c r="M58" s="233">
        <f>L58+M46</f>
        <v>125958.76</v>
      </c>
      <c r="N58" s="233">
        <f>M58+N46</f>
        <v>157702.57</v>
      </c>
      <c r="O58" s="233">
        <f>N58+O46</f>
        <v>182259.22</v>
      </c>
      <c r="P58" s="233"/>
      <c r="Q58" s="233"/>
      <c r="R58" s="233"/>
      <c r="S58" s="233"/>
      <c r="T58" s="233"/>
      <c r="U58" s="234"/>
      <c r="V58" s="234"/>
      <c r="W58" s="234"/>
      <c r="X58" s="234"/>
      <c r="Y58" s="234"/>
      <c r="Z58" s="234"/>
      <c r="AA58" s="234"/>
      <c r="AB58" s="234"/>
      <c r="AC58" s="234"/>
      <c r="AD58" s="234"/>
      <c r="AE58" s="234"/>
      <c r="AF58" s="234"/>
      <c r="AG58" s="234"/>
    </row>
    <row r="59" spans="1:33" ht="20.100000000000001" customHeight="1">
      <c r="A59" s="232"/>
      <c r="B59" s="233"/>
      <c r="C59" s="233"/>
      <c r="D59" s="233"/>
      <c r="E59" s="233"/>
      <c r="F59" s="235"/>
      <c r="G59" s="235"/>
      <c r="H59" s="235"/>
      <c r="I59" s="235"/>
      <c r="J59" s="233"/>
      <c r="K59" s="233"/>
      <c r="L59" s="233"/>
      <c r="M59" s="233"/>
      <c r="N59" s="233">
        <f>SUM(N56:N58)</f>
        <v>322639.11</v>
      </c>
      <c r="O59" s="233"/>
      <c r="P59" s="233"/>
      <c r="Q59" s="233"/>
      <c r="R59" s="233"/>
      <c r="S59" s="233"/>
      <c r="T59" s="233"/>
      <c r="U59" s="234"/>
      <c r="V59" s="234"/>
      <c r="W59" s="234"/>
      <c r="X59" s="234"/>
      <c r="Y59" s="234"/>
      <c r="Z59" s="234"/>
      <c r="AA59" s="234"/>
      <c r="AB59" s="234"/>
      <c r="AC59" s="234"/>
      <c r="AD59" s="234"/>
      <c r="AE59" s="234"/>
      <c r="AF59" s="234"/>
      <c r="AG59" s="234"/>
    </row>
    <row r="60" spans="1:33" ht="20.100000000000001" customHeight="1">
      <c r="A60" s="232"/>
      <c r="B60" s="233"/>
      <c r="C60" s="233"/>
      <c r="D60" s="233"/>
      <c r="E60" s="233"/>
      <c r="F60" s="235"/>
      <c r="G60" s="235"/>
      <c r="H60" s="235"/>
      <c r="I60" s="235"/>
      <c r="J60" s="233"/>
      <c r="K60" s="233"/>
      <c r="L60" s="233"/>
      <c r="M60" s="233"/>
      <c r="N60" s="233"/>
      <c r="O60" s="233"/>
      <c r="P60" s="233"/>
      <c r="Q60" s="233"/>
      <c r="R60" s="233"/>
      <c r="S60" s="233"/>
      <c r="T60" s="233"/>
      <c r="U60" s="234"/>
      <c r="V60" s="234"/>
      <c r="W60" s="234"/>
      <c r="X60" s="234"/>
      <c r="Y60" s="234"/>
      <c r="Z60" s="234"/>
      <c r="AA60" s="234"/>
      <c r="AB60" s="234"/>
      <c r="AC60" s="234"/>
      <c r="AD60" s="234"/>
      <c r="AE60" s="234"/>
      <c r="AF60" s="234"/>
      <c r="AG60" s="234"/>
    </row>
    <row r="61" spans="1:33" ht="20.100000000000001" customHeight="1" thickBot="1">
      <c r="A61" s="232"/>
      <c r="B61" s="233"/>
      <c r="C61" s="233"/>
      <c r="D61" s="233"/>
      <c r="E61" s="233"/>
      <c r="F61" s="235"/>
      <c r="G61" s="235"/>
      <c r="H61" s="235"/>
      <c r="I61" s="235"/>
      <c r="J61" s="233"/>
      <c r="K61" s="233"/>
      <c r="L61" s="233"/>
      <c r="M61" s="233"/>
      <c r="N61" s="233"/>
      <c r="O61" s="233"/>
      <c r="P61" s="233"/>
      <c r="Q61" s="233"/>
      <c r="R61" s="233"/>
      <c r="S61" s="233"/>
      <c r="T61" s="233"/>
      <c r="U61" s="234"/>
      <c r="V61" s="234"/>
      <c r="W61" s="234"/>
      <c r="X61" s="234"/>
      <c r="Y61" s="234"/>
      <c r="Z61" s="234"/>
      <c r="AA61" s="234"/>
      <c r="AB61" s="234"/>
      <c r="AC61" s="234"/>
      <c r="AD61" s="234"/>
      <c r="AE61" s="234"/>
      <c r="AF61" s="234"/>
      <c r="AG61" s="234"/>
    </row>
    <row r="62" spans="1:33" ht="20.100000000000001" customHeight="1" thickBot="1">
      <c r="A62" s="236"/>
      <c r="B62" s="236"/>
      <c r="C62" s="236"/>
      <c r="D62" s="236"/>
      <c r="E62" s="236"/>
      <c r="F62" s="438">
        <v>2008</v>
      </c>
      <c r="G62" s="439"/>
      <c r="H62" s="440">
        <v>2009</v>
      </c>
      <c r="I62" s="439"/>
      <c r="J62" s="441">
        <v>2010</v>
      </c>
      <c r="K62" s="442"/>
      <c r="L62" s="441">
        <v>2011</v>
      </c>
      <c r="M62" s="442"/>
      <c r="N62" s="443">
        <v>2012</v>
      </c>
      <c r="O62" s="442"/>
      <c r="P62" s="438">
        <v>2013</v>
      </c>
      <c r="Q62" s="439"/>
      <c r="R62" s="236"/>
      <c r="S62" s="269"/>
      <c r="T62" s="236"/>
      <c r="U62" s="237"/>
      <c r="V62" s="237"/>
      <c r="W62" s="237"/>
      <c r="X62" s="237"/>
      <c r="Y62" s="237"/>
      <c r="Z62" s="237"/>
      <c r="AA62" s="237"/>
      <c r="AB62" s="237"/>
      <c r="AC62" s="237"/>
      <c r="AD62" s="237"/>
      <c r="AE62" s="237"/>
      <c r="AF62" s="237"/>
      <c r="AG62" s="237"/>
    </row>
    <row r="63" spans="1:33" ht="20.100000000000001" customHeight="1" thickBot="1">
      <c r="A63" s="236"/>
      <c r="B63" s="236"/>
      <c r="C63" s="236"/>
      <c r="D63" s="236"/>
      <c r="E63" s="236"/>
      <c r="F63" s="238" t="s">
        <v>127</v>
      </c>
      <c r="G63" s="238" t="s">
        <v>128</v>
      </c>
      <c r="H63" s="238" t="s">
        <v>127</v>
      </c>
      <c r="I63" s="238" t="s">
        <v>128</v>
      </c>
      <c r="J63" s="238" t="s">
        <v>127</v>
      </c>
      <c r="K63" s="238" t="s">
        <v>128</v>
      </c>
      <c r="L63" s="238" t="s">
        <v>127</v>
      </c>
      <c r="M63" s="238" t="s">
        <v>128</v>
      </c>
      <c r="N63" s="238" t="s">
        <v>127</v>
      </c>
      <c r="O63" s="238" t="s">
        <v>128</v>
      </c>
      <c r="P63" s="238" t="s">
        <v>127</v>
      </c>
      <c r="Q63" s="238" t="s">
        <v>128</v>
      </c>
      <c r="R63" s="236"/>
      <c r="T63" s="236"/>
      <c r="U63" s="237"/>
      <c r="V63" s="237"/>
      <c r="W63" s="237"/>
      <c r="X63" s="237"/>
      <c r="Y63" s="237"/>
      <c r="Z63" s="237"/>
      <c r="AA63" s="237"/>
      <c r="AB63" s="237"/>
      <c r="AC63" s="237"/>
      <c r="AD63" s="237"/>
      <c r="AE63" s="237"/>
      <c r="AF63" s="237"/>
      <c r="AG63" s="237"/>
    </row>
    <row r="64" spans="1:33" ht="20.100000000000001" customHeight="1">
      <c r="A64" s="445" t="s">
        <v>155</v>
      </c>
      <c r="B64" s="448" t="s">
        <v>129</v>
      </c>
      <c r="C64" s="448"/>
      <c r="D64" s="448"/>
      <c r="E64" s="449"/>
      <c r="F64" s="239"/>
      <c r="G64" s="240">
        <v>5000</v>
      </c>
      <c r="H64" s="241">
        <v>5000</v>
      </c>
      <c r="I64" s="242">
        <v>5000</v>
      </c>
      <c r="J64" s="243">
        <v>5000</v>
      </c>
      <c r="K64" s="242">
        <v>1500</v>
      </c>
      <c r="L64" s="243">
        <v>5000</v>
      </c>
      <c r="M64" s="242">
        <v>1500</v>
      </c>
      <c r="N64" s="244">
        <v>5000</v>
      </c>
      <c r="O64" s="242">
        <v>1500</v>
      </c>
      <c r="P64" s="244">
        <v>5000</v>
      </c>
      <c r="Q64" s="242">
        <v>1500</v>
      </c>
      <c r="R64" s="256"/>
      <c r="T64" s="245"/>
      <c r="U64" s="234"/>
      <c r="V64" s="234"/>
      <c r="W64" s="234"/>
      <c r="X64" s="234"/>
      <c r="Y64" s="234"/>
      <c r="Z64" s="234"/>
      <c r="AA64" s="234"/>
      <c r="AB64" s="234"/>
      <c r="AC64" s="234"/>
      <c r="AD64" s="234"/>
      <c r="AE64" s="234"/>
      <c r="AF64" s="234"/>
      <c r="AG64" s="234"/>
    </row>
    <row r="65" spans="1:33" ht="20.100000000000001" customHeight="1">
      <c r="A65" s="446"/>
      <c r="B65" s="450" t="s">
        <v>130</v>
      </c>
      <c r="C65" s="450"/>
      <c r="D65" s="450"/>
      <c r="E65" s="451"/>
      <c r="F65" s="246"/>
      <c r="G65" s="247">
        <v>2500</v>
      </c>
      <c r="H65" s="248">
        <v>2500</v>
      </c>
      <c r="I65" s="249">
        <v>2500</v>
      </c>
      <c r="J65" s="250">
        <v>2500</v>
      </c>
      <c r="K65" s="249">
        <v>2500</v>
      </c>
      <c r="L65" s="250">
        <v>2500</v>
      </c>
      <c r="M65" s="249">
        <v>2500</v>
      </c>
      <c r="N65" s="248">
        <v>1575</v>
      </c>
      <c r="O65" s="249">
        <v>2500</v>
      </c>
      <c r="P65" s="248">
        <v>2500</v>
      </c>
      <c r="Q65" s="249">
        <v>2500</v>
      </c>
      <c r="R65" s="256"/>
      <c r="T65" s="245"/>
      <c r="U65" s="234"/>
      <c r="V65" s="234"/>
      <c r="W65" s="234"/>
      <c r="X65" s="234"/>
      <c r="Y65" s="234"/>
      <c r="Z65" s="234"/>
      <c r="AA65" s="234"/>
      <c r="AB65" s="234"/>
      <c r="AC65" s="234"/>
      <c r="AD65" s="234"/>
      <c r="AE65" s="234"/>
      <c r="AF65" s="234"/>
      <c r="AG65" s="234"/>
    </row>
    <row r="66" spans="1:33" ht="20.100000000000001" customHeight="1">
      <c r="A66" s="446"/>
      <c r="B66" s="450" t="s">
        <v>131</v>
      </c>
      <c r="C66" s="450"/>
      <c r="D66" s="450"/>
      <c r="E66" s="451"/>
      <c r="F66" s="246"/>
      <c r="G66" s="247"/>
      <c r="H66" s="248">
        <v>1500</v>
      </c>
      <c r="I66" s="249">
        <v>1500</v>
      </c>
      <c r="J66" s="250">
        <v>750</v>
      </c>
      <c r="K66" s="249">
        <v>0</v>
      </c>
      <c r="L66" s="250">
        <v>750</v>
      </c>
      <c r="M66" s="249">
        <v>0</v>
      </c>
      <c r="N66" s="248">
        <v>0</v>
      </c>
      <c r="O66" s="249">
        <v>0</v>
      </c>
      <c r="P66" s="248"/>
      <c r="Q66" s="249"/>
      <c r="R66" s="256"/>
      <c r="T66" s="245"/>
      <c r="U66" s="234"/>
      <c r="V66" s="234"/>
      <c r="W66" s="234"/>
      <c r="X66" s="234"/>
      <c r="Y66" s="234"/>
      <c r="Z66" s="234"/>
      <c r="AA66" s="234"/>
      <c r="AB66" s="234"/>
      <c r="AC66" s="234"/>
      <c r="AD66" s="234"/>
      <c r="AE66" s="234"/>
      <c r="AF66" s="234"/>
      <c r="AG66" s="234"/>
    </row>
    <row r="67" spans="1:33" ht="20.100000000000001" customHeight="1">
      <c r="A67" s="446"/>
      <c r="B67" s="451" t="s">
        <v>132</v>
      </c>
      <c r="C67" s="452"/>
      <c r="D67" s="452"/>
      <c r="E67" s="453"/>
      <c r="F67" s="246"/>
      <c r="G67" s="247"/>
      <c r="H67" s="248"/>
      <c r="I67" s="249"/>
      <c r="J67" s="250"/>
      <c r="K67" s="249"/>
      <c r="L67" s="250">
        <v>750</v>
      </c>
      <c r="M67" s="249">
        <v>0</v>
      </c>
      <c r="N67" s="248"/>
      <c r="O67" s="249"/>
      <c r="P67" s="248"/>
      <c r="Q67" s="249"/>
      <c r="R67" s="256"/>
      <c r="T67" s="245"/>
      <c r="U67" s="234"/>
      <c r="V67" s="234"/>
      <c r="W67" s="234"/>
      <c r="X67" s="234"/>
      <c r="Y67" s="234"/>
      <c r="Z67" s="234"/>
      <c r="AA67" s="234"/>
      <c r="AB67" s="234"/>
      <c r="AC67" s="234"/>
      <c r="AD67" s="234"/>
      <c r="AE67" s="234"/>
      <c r="AF67" s="234"/>
      <c r="AG67" s="234"/>
    </row>
    <row r="68" spans="1:33" ht="20.100000000000001" customHeight="1">
      <c r="A68" s="446"/>
      <c r="B68" s="451" t="s">
        <v>133</v>
      </c>
      <c r="C68" s="452"/>
      <c r="D68" s="452"/>
      <c r="E68" s="453"/>
      <c r="F68" s="246"/>
      <c r="G68" s="247"/>
      <c r="H68" s="248"/>
      <c r="I68" s="249"/>
      <c r="J68" s="250"/>
      <c r="K68" s="249"/>
      <c r="L68" s="250"/>
      <c r="M68" s="249"/>
      <c r="N68" s="248">
        <v>2400</v>
      </c>
      <c r="O68" s="249">
        <v>0</v>
      </c>
      <c r="P68" s="248"/>
      <c r="Q68" s="249"/>
      <c r="R68" s="256"/>
      <c r="T68" s="245"/>
      <c r="U68" s="234"/>
      <c r="V68" s="234"/>
      <c r="W68" s="234"/>
      <c r="X68" s="234"/>
      <c r="Y68" s="234"/>
      <c r="Z68" s="234"/>
      <c r="AA68" s="234"/>
      <c r="AB68" s="234"/>
      <c r="AC68" s="234"/>
      <c r="AD68" s="234"/>
      <c r="AE68" s="234"/>
      <c r="AF68" s="234"/>
      <c r="AG68" s="234"/>
    </row>
    <row r="69" spans="1:33" ht="20.100000000000001" customHeight="1">
      <c r="A69" s="446"/>
      <c r="B69" s="450" t="s">
        <v>134</v>
      </c>
      <c r="C69" s="450"/>
      <c r="D69" s="450"/>
      <c r="E69" s="451"/>
      <c r="F69" s="246">
        <v>2400</v>
      </c>
      <c r="G69" s="247">
        <v>2400</v>
      </c>
      <c r="H69" s="248"/>
      <c r="I69" s="249"/>
      <c r="J69" s="250">
        <v>2800</v>
      </c>
      <c r="K69" s="249">
        <v>2800</v>
      </c>
      <c r="L69" s="250"/>
      <c r="M69" s="249"/>
      <c r="N69" s="248"/>
      <c r="O69" s="249"/>
      <c r="P69" s="248"/>
      <c r="Q69" s="249"/>
      <c r="R69" s="256"/>
      <c r="T69" s="245"/>
      <c r="U69" s="234"/>
      <c r="V69" s="234"/>
      <c r="W69" s="234"/>
      <c r="X69" s="234"/>
      <c r="Y69" s="234"/>
      <c r="Z69" s="234"/>
      <c r="AA69" s="234"/>
      <c r="AB69" s="234"/>
      <c r="AC69" s="234"/>
      <c r="AD69" s="234"/>
      <c r="AE69" s="234"/>
      <c r="AF69" s="234"/>
      <c r="AG69" s="234"/>
    </row>
    <row r="70" spans="1:33" ht="20.100000000000001" customHeight="1">
      <c r="A70" s="446"/>
      <c r="B70" s="450" t="s">
        <v>135</v>
      </c>
      <c r="C70" s="450"/>
      <c r="D70" s="450"/>
      <c r="E70" s="451"/>
      <c r="F70" s="246"/>
      <c r="G70" s="247"/>
      <c r="H70" s="248"/>
      <c r="I70" s="249"/>
      <c r="J70" s="250">
        <v>3000</v>
      </c>
      <c r="K70" s="249">
        <v>0</v>
      </c>
      <c r="L70" s="250"/>
      <c r="M70" s="249"/>
      <c r="N70" s="248"/>
      <c r="O70" s="249"/>
      <c r="P70" s="248"/>
      <c r="Q70" s="249"/>
      <c r="R70" s="256"/>
      <c r="T70" s="245"/>
      <c r="U70" s="234"/>
      <c r="V70" s="234"/>
      <c r="W70" s="234"/>
      <c r="X70" s="234"/>
      <c r="Y70" s="234"/>
      <c r="Z70" s="234"/>
      <c r="AA70" s="234"/>
      <c r="AB70" s="234"/>
      <c r="AC70" s="234"/>
      <c r="AD70" s="234"/>
      <c r="AE70" s="234"/>
      <c r="AF70" s="234"/>
      <c r="AG70" s="234"/>
    </row>
    <row r="71" spans="1:33" ht="20.100000000000001" customHeight="1">
      <c r="A71" s="446"/>
      <c r="B71" s="450" t="s">
        <v>65</v>
      </c>
      <c r="C71" s="450"/>
      <c r="D71" s="450"/>
      <c r="E71" s="451"/>
      <c r="F71" s="246"/>
      <c r="G71" s="247"/>
      <c r="H71" s="248"/>
      <c r="I71" s="249"/>
      <c r="J71" s="250"/>
      <c r="K71" s="249"/>
      <c r="L71" s="250"/>
      <c r="M71" s="249"/>
      <c r="N71" s="248">
        <v>2000</v>
      </c>
      <c r="O71" s="249">
        <v>500</v>
      </c>
      <c r="P71" s="248">
        <v>500</v>
      </c>
      <c r="Q71" s="249">
        <v>500</v>
      </c>
      <c r="R71" s="256"/>
      <c r="T71" s="245"/>
      <c r="U71" s="234"/>
      <c r="V71" s="234"/>
      <c r="W71" s="234"/>
      <c r="X71" s="234"/>
      <c r="Y71" s="234"/>
      <c r="Z71" s="234"/>
      <c r="AA71" s="234"/>
      <c r="AB71" s="234"/>
      <c r="AC71" s="234"/>
      <c r="AD71" s="234"/>
      <c r="AE71" s="234"/>
      <c r="AF71" s="234"/>
      <c r="AG71" s="234"/>
    </row>
    <row r="72" spans="1:33" ht="20.100000000000001" customHeight="1">
      <c r="A72" s="446"/>
      <c r="B72" s="451" t="s">
        <v>136</v>
      </c>
      <c r="C72" s="452"/>
      <c r="D72" s="452"/>
      <c r="E72" s="453"/>
      <c r="F72" s="246"/>
      <c r="G72" s="247">
        <v>240</v>
      </c>
      <c r="H72" s="248"/>
      <c r="I72" s="249"/>
      <c r="J72" s="250"/>
      <c r="K72" s="249"/>
      <c r="L72" s="250"/>
      <c r="M72" s="249"/>
      <c r="N72" s="248"/>
      <c r="O72" s="249"/>
      <c r="P72" s="248"/>
      <c r="Q72" s="249"/>
      <c r="R72" s="256"/>
      <c r="T72" s="245"/>
      <c r="U72" s="234"/>
      <c r="V72" s="234"/>
      <c r="W72" s="234"/>
      <c r="X72" s="234"/>
      <c r="Y72" s="234"/>
      <c r="Z72" s="234"/>
      <c r="AA72" s="234"/>
      <c r="AB72" s="234"/>
      <c r="AC72" s="234"/>
      <c r="AD72" s="234"/>
      <c r="AE72" s="234"/>
      <c r="AF72" s="234"/>
      <c r="AG72" s="234"/>
    </row>
    <row r="73" spans="1:33" ht="20.100000000000001" customHeight="1">
      <c r="A73" s="446"/>
      <c r="B73" s="451" t="s">
        <v>137</v>
      </c>
      <c r="C73" s="452"/>
      <c r="D73" s="452"/>
      <c r="E73" s="453"/>
      <c r="F73" s="246"/>
      <c r="G73" s="247">
        <v>1000</v>
      </c>
      <c r="H73" s="248"/>
      <c r="I73" s="249"/>
      <c r="J73" s="250"/>
      <c r="K73" s="249"/>
      <c r="L73" s="250"/>
      <c r="M73" s="249"/>
      <c r="N73" s="248"/>
      <c r="O73" s="249"/>
      <c r="P73" s="248"/>
      <c r="Q73" s="249"/>
      <c r="R73" s="256"/>
      <c r="T73" s="245"/>
      <c r="U73" s="234"/>
      <c r="V73" s="234"/>
      <c r="W73" s="234"/>
      <c r="X73" s="234"/>
      <c r="Y73" s="234"/>
      <c r="Z73" s="234"/>
      <c r="AA73" s="234"/>
      <c r="AB73" s="234"/>
      <c r="AC73" s="234"/>
      <c r="AD73" s="234"/>
      <c r="AE73" s="234"/>
      <c r="AF73" s="234"/>
      <c r="AG73" s="234"/>
    </row>
    <row r="74" spans="1:33" ht="20.100000000000001" customHeight="1">
      <c r="A74" s="446"/>
      <c r="B74" s="451" t="s">
        <v>138</v>
      </c>
      <c r="C74" s="452"/>
      <c r="D74" s="452"/>
      <c r="E74" s="453"/>
      <c r="F74" s="246"/>
      <c r="G74" s="247">
        <v>1000</v>
      </c>
      <c r="H74" s="248"/>
      <c r="I74" s="249"/>
      <c r="J74" s="250"/>
      <c r="K74" s="249"/>
      <c r="L74" s="250"/>
      <c r="M74" s="249"/>
      <c r="N74" s="248"/>
      <c r="O74" s="249"/>
      <c r="P74" s="248"/>
      <c r="Q74" s="249"/>
      <c r="R74" s="256"/>
      <c r="T74" s="245"/>
      <c r="U74" s="234"/>
      <c r="V74" s="234"/>
      <c r="W74" s="234"/>
      <c r="X74" s="234"/>
      <c r="Y74" s="234"/>
      <c r="Z74" s="234"/>
      <c r="AA74" s="234"/>
      <c r="AB74" s="234"/>
      <c r="AC74" s="234"/>
      <c r="AD74" s="234"/>
      <c r="AE74" s="234"/>
      <c r="AF74" s="234"/>
      <c r="AG74" s="234"/>
    </row>
    <row r="75" spans="1:33" ht="20.100000000000001" customHeight="1">
      <c r="A75" s="446"/>
      <c r="B75" s="450" t="s">
        <v>91</v>
      </c>
      <c r="C75" s="450"/>
      <c r="D75" s="450"/>
      <c r="E75" s="451"/>
      <c r="F75" s="246"/>
      <c r="G75" s="247"/>
      <c r="H75" s="248">
        <v>5000</v>
      </c>
      <c r="I75" s="249">
        <v>2500</v>
      </c>
      <c r="J75" s="250"/>
      <c r="K75" s="249"/>
      <c r="L75" s="250">
        <v>5000</v>
      </c>
      <c r="M75" s="249">
        <v>2500</v>
      </c>
      <c r="N75" s="248"/>
      <c r="O75" s="249"/>
      <c r="P75" s="248">
        <v>3000</v>
      </c>
      <c r="Q75" s="249">
        <v>2500</v>
      </c>
      <c r="R75" s="256"/>
      <c r="T75" s="245"/>
      <c r="U75" s="234"/>
      <c r="V75" s="234"/>
      <c r="W75" s="234"/>
      <c r="X75" s="234"/>
      <c r="Y75" s="234"/>
      <c r="Z75" s="234"/>
      <c r="AA75" s="234"/>
      <c r="AB75" s="234"/>
      <c r="AC75" s="234"/>
      <c r="AD75" s="234"/>
      <c r="AE75" s="234"/>
      <c r="AF75" s="234"/>
      <c r="AG75" s="234"/>
    </row>
    <row r="76" spans="1:33" ht="20.100000000000001" customHeight="1">
      <c r="A76" s="446"/>
      <c r="B76" s="451" t="s">
        <v>83</v>
      </c>
      <c r="C76" s="452"/>
      <c r="D76" s="452"/>
      <c r="E76" s="453"/>
      <c r="F76" s="246"/>
      <c r="G76" s="247"/>
      <c r="H76" s="248"/>
      <c r="I76" s="249"/>
      <c r="J76" s="250"/>
      <c r="K76" s="249"/>
      <c r="L76" s="250"/>
      <c r="M76" s="249"/>
      <c r="N76" s="248"/>
      <c r="O76" s="249">
        <v>2000</v>
      </c>
      <c r="P76" s="248"/>
      <c r="Q76" s="249">
        <v>2000</v>
      </c>
      <c r="R76" s="256"/>
      <c r="T76" s="245"/>
      <c r="U76" s="234"/>
      <c r="V76" s="234"/>
      <c r="W76" s="234"/>
      <c r="X76" s="234"/>
      <c r="Y76" s="234"/>
      <c r="Z76" s="234"/>
      <c r="AA76" s="234"/>
      <c r="AB76" s="234"/>
      <c r="AC76" s="234"/>
      <c r="AD76" s="234"/>
      <c r="AE76" s="234"/>
      <c r="AF76" s="234"/>
      <c r="AG76" s="234"/>
    </row>
    <row r="77" spans="1:33" ht="20.100000000000001" customHeight="1">
      <c r="A77" s="446"/>
      <c r="B77" s="450" t="s">
        <v>139</v>
      </c>
      <c r="C77" s="450"/>
      <c r="D77" s="450"/>
      <c r="E77" s="451"/>
      <c r="F77" s="246"/>
      <c r="G77" s="247"/>
      <c r="H77" s="248"/>
      <c r="I77" s="249"/>
      <c r="J77" s="250"/>
      <c r="K77" s="249"/>
      <c r="L77" s="250">
        <v>4384</v>
      </c>
      <c r="M77" s="249">
        <v>4384</v>
      </c>
      <c r="N77" s="248">
        <v>1600</v>
      </c>
      <c r="O77" s="249">
        <v>2600</v>
      </c>
      <c r="P77" s="248">
        <v>25000</v>
      </c>
      <c r="Q77" s="249">
        <v>25000</v>
      </c>
      <c r="R77" s="256"/>
      <c r="T77" s="245"/>
      <c r="U77" s="234"/>
      <c r="V77" s="234"/>
      <c r="W77" s="234"/>
      <c r="X77" s="234"/>
      <c r="Y77" s="234"/>
      <c r="Z77" s="234"/>
      <c r="AA77" s="234"/>
      <c r="AB77" s="234"/>
      <c r="AC77" s="234"/>
      <c r="AD77" s="234"/>
      <c r="AE77" s="234"/>
      <c r="AF77" s="234"/>
      <c r="AG77" s="234"/>
    </row>
    <row r="78" spans="1:33" ht="20.100000000000001" customHeight="1" thickBot="1">
      <c r="A78" s="447"/>
      <c r="B78" s="457" t="s">
        <v>140</v>
      </c>
      <c r="C78" s="457"/>
      <c r="D78" s="457"/>
      <c r="E78" s="458"/>
      <c r="F78" s="251"/>
      <c r="G78" s="252"/>
      <c r="H78" s="253">
        <v>5000</v>
      </c>
      <c r="I78" s="254">
        <v>2500</v>
      </c>
      <c r="J78" s="255"/>
      <c r="K78" s="254"/>
      <c r="L78" s="255"/>
      <c r="M78" s="254"/>
      <c r="N78" s="253"/>
      <c r="O78" s="254"/>
      <c r="P78" s="253"/>
      <c r="Q78" s="254"/>
      <c r="R78" s="256"/>
      <c r="T78" s="245"/>
      <c r="U78" s="234"/>
      <c r="V78" s="234"/>
      <c r="W78" s="234"/>
      <c r="X78" s="234"/>
      <c r="Y78" s="234"/>
      <c r="Z78" s="234"/>
      <c r="AA78" s="234"/>
      <c r="AB78" s="234"/>
      <c r="AC78" s="234"/>
      <c r="AD78" s="234"/>
      <c r="AE78" s="234"/>
      <c r="AF78" s="234"/>
      <c r="AG78" s="234"/>
    </row>
    <row r="79" spans="1:33">
      <c r="A79" s="232"/>
      <c r="B79" s="245"/>
      <c r="C79" s="245"/>
      <c r="D79" s="245"/>
      <c r="E79" s="245"/>
      <c r="F79" s="256"/>
      <c r="G79" s="257">
        <f>SUM(G64:G78)</f>
        <v>12140</v>
      </c>
      <c r="H79" s="256"/>
      <c r="I79" s="257">
        <f>SUM(I64:I78)</f>
        <v>14000</v>
      </c>
      <c r="J79" s="256"/>
      <c r="K79" s="257">
        <f>SUM(K64:K78)</f>
        <v>6800</v>
      </c>
      <c r="L79" s="256"/>
      <c r="M79" s="257">
        <f>SUM(M64:M78)</f>
        <v>10884</v>
      </c>
      <c r="N79" s="256"/>
      <c r="O79" s="257">
        <f>SUM(O64:O78)</f>
        <v>9100</v>
      </c>
      <c r="P79" s="256"/>
      <c r="Q79" s="257">
        <f>SUM(Q64:Q78)</f>
        <v>34000</v>
      </c>
      <c r="R79" s="256"/>
      <c r="T79" s="245"/>
      <c r="U79" s="234"/>
      <c r="V79" s="234"/>
      <c r="W79" s="234"/>
      <c r="X79" s="234"/>
      <c r="Y79" s="234"/>
      <c r="Z79" s="234"/>
      <c r="AA79" s="234"/>
      <c r="AB79" s="234"/>
      <c r="AC79" s="234"/>
      <c r="AD79" s="234"/>
      <c r="AE79" s="234"/>
      <c r="AF79" s="234"/>
      <c r="AG79" s="234"/>
    </row>
    <row r="80" spans="1:33">
      <c r="A80" s="232"/>
      <c r="B80" s="245"/>
      <c r="C80" s="245"/>
      <c r="D80" s="245"/>
      <c r="E80" s="245"/>
      <c r="F80" s="256"/>
      <c r="G80" s="256"/>
      <c r="H80" s="256"/>
      <c r="I80" s="256"/>
      <c r="J80" s="256"/>
      <c r="K80" s="256"/>
      <c r="L80" s="256"/>
      <c r="M80" s="256"/>
      <c r="N80" s="256"/>
      <c r="O80" s="256"/>
      <c r="P80" s="245"/>
      <c r="Q80" s="245"/>
      <c r="R80" s="245"/>
      <c r="S80" s="245"/>
      <c r="T80" s="245"/>
      <c r="U80" s="234"/>
      <c r="V80" s="234"/>
      <c r="W80" s="234"/>
      <c r="X80" s="234"/>
      <c r="Y80" s="234"/>
      <c r="Z80" s="234"/>
      <c r="AA80" s="234"/>
      <c r="AB80" s="234"/>
      <c r="AC80" s="234"/>
      <c r="AD80" s="234"/>
      <c r="AE80" s="234"/>
      <c r="AF80" s="234"/>
      <c r="AG80" s="234"/>
    </row>
    <row r="81" spans="1:33">
      <c r="A81" s="258"/>
      <c r="B81" s="259"/>
      <c r="C81" s="259"/>
      <c r="D81" s="259"/>
      <c r="E81" s="259"/>
      <c r="F81" s="259"/>
      <c r="G81" s="259"/>
      <c r="H81" s="259"/>
      <c r="I81" s="259"/>
      <c r="J81" s="259"/>
      <c r="K81" s="259"/>
      <c r="L81" s="259"/>
      <c r="M81" s="259"/>
      <c r="N81" s="259"/>
      <c r="O81" s="259"/>
      <c r="P81" s="259"/>
      <c r="Q81" s="259"/>
      <c r="R81" s="259"/>
      <c r="S81" s="259"/>
      <c r="T81" s="259"/>
      <c r="U81" s="234"/>
      <c r="V81" s="234"/>
      <c r="W81" s="234"/>
      <c r="X81" s="234"/>
      <c r="Y81" s="234"/>
      <c r="Z81" s="234"/>
      <c r="AA81" s="234"/>
      <c r="AB81" s="234"/>
      <c r="AC81" s="234"/>
      <c r="AD81" s="234"/>
      <c r="AE81" s="234"/>
      <c r="AF81" s="234"/>
      <c r="AG81" s="234"/>
    </row>
    <row r="82" spans="1:33" ht="15.75" thickBot="1">
      <c r="A82" s="260"/>
      <c r="B82" s="261"/>
      <c r="C82" s="261"/>
      <c r="D82" s="261"/>
      <c r="E82" s="261"/>
      <c r="F82" s="261"/>
      <c r="G82" s="261"/>
      <c r="H82" s="261"/>
      <c r="I82" s="261"/>
      <c r="J82" s="261"/>
      <c r="K82" s="261"/>
      <c r="L82" s="261"/>
      <c r="M82" s="262"/>
      <c r="N82" s="262"/>
      <c r="O82" s="262"/>
      <c r="P82" s="262"/>
      <c r="Q82" s="262"/>
      <c r="R82" s="262"/>
      <c r="S82" s="261"/>
      <c r="T82" s="261"/>
    </row>
    <row r="83" spans="1:33" ht="15.75" thickBot="1">
      <c r="A83" s="260"/>
      <c r="B83" s="261"/>
      <c r="C83" s="261"/>
      <c r="D83" s="261"/>
      <c r="E83" s="261"/>
      <c r="F83" s="261"/>
      <c r="G83" s="261"/>
      <c r="H83" s="261"/>
      <c r="I83" s="261"/>
      <c r="J83" s="459" t="s">
        <v>149</v>
      </c>
      <c r="K83" s="460"/>
      <c r="L83" s="460"/>
      <c r="M83" s="460"/>
      <c r="N83" s="460"/>
      <c r="O83" s="460"/>
      <c r="P83" s="460"/>
      <c r="Q83" s="460"/>
      <c r="R83" s="460"/>
      <c r="S83" s="460"/>
      <c r="T83" s="461"/>
    </row>
    <row r="84" spans="1:33">
      <c r="A84" s="260"/>
      <c r="B84" s="261"/>
      <c r="C84" s="261"/>
      <c r="D84" s="261"/>
      <c r="E84" s="261"/>
      <c r="F84" s="261"/>
      <c r="G84" s="261"/>
      <c r="H84" s="261"/>
      <c r="I84" s="261"/>
      <c r="J84" s="462" t="s">
        <v>141</v>
      </c>
      <c r="K84" s="463"/>
      <c r="L84" s="463"/>
      <c r="M84" s="463"/>
      <c r="N84" s="463"/>
      <c r="O84" s="463"/>
      <c r="P84" s="463"/>
      <c r="Q84" s="463"/>
      <c r="R84" s="463"/>
      <c r="S84" s="464"/>
      <c r="T84" s="147">
        <f>T33</f>
        <v>84617.159999999989</v>
      </c>
    </row>
    <row r="85" spans="1:33">
      <c r="A85" s="260"/>
      <c r="B85" s="261"/>
      <c r="C85" s="261"/>
      <c r="D85" s="261"/>
      <c r="E85" s="261"/>
      <c r="F85" s="261"/>
      <c r="G85" s="261"/>
      <c r="H85" s="261"/>
      <c r="I85" s="261"/>
      <c r="J85" s="454" t="s">
        <v>142</v>
      </c>
      <c r="K85" s="455"/>
      <c r="L85" s="455"/>
      <c r="M85" s="455"/>
      <c r="N85" s="455"/>
      <c r="O85" s="455"/>
      <c r="P85" s="455"/>
      <c r="Q85" s="455"/>
      <c r="R85" s="455"/>
      <c r="S85" s="456"/>
      <c r="T85" s="155">
        <f>T46</f>
        <v>128157.45</v>
      </c>
    </row>
    <row r="86" spans="1:33">
      <c r="A86" s="260"/>
      <c r="B86" s="261"/>
      <c r="C86" s="261"/>
      <c r="D86" s="261"/>
      <c r="E86" s="261"/>
      <c r="F86" s="261"/>
      <c r="G86" s="261"/>
      <c r="H86" s="261"/>
      <c r="I86" s="261"/>
      <c r="J86" s="454" t="s">
        <v>143</v>
      </c>
      <c r="K86" s="455"/>
      <c r="L86" s="455"/>
      <c r="M86" s="455"/>
      <c r="N86" s="455"/>
      <c r="O86" s="455"/>
      <c r="P86" s="455"/>
      <c r="Q86" s="455"/>
      <c r="R86" s="455"/>
      <c r="S86" s="456"/>
      <c r="T86" s="155">
        <f>T84+T85</f>
        <v>212774.61</v>
      </c>
    </row>
    <row r="87" spans="1:33">
      <c r="A87" s="260"/>
      <c r="B87" s="261"/>
      <c r="C87" s="261"/>
      <c r="D87" s="261"/>
      <c r="E87" s="261"/>
      <c r="F87" s="261"/>
      <c r="G87" s="261"/>
      <c r="H87" s="261"/>
      <c r="I87" s="261"/>
      <c r="J87" s="263"/>
      <c r="K87" s="264"/>
      <c r="L87" s="265"/>
      <c r="M87" s="266"/>
      <c r="N87" s="266"/>
      <c r="O87" s="266"/>
      <c r="P87" s="266"/>
      <c r="Q87" s="266"/>
      <c r="R87" s="266"/>
      <c r="S87" s="267"/>
      <c r="T87" s="268"/>
    </row>
    <row r="88" spans="1:33">
      <c r="A88" s="260"/>
      <c r="B88" s="261"/>
      <c r="C88" s="261"/>
      <c r="D88" s="261"/>
      <c r="E88" s="261"/>
      <c r="F88" s="261"/>
      <c r="G88" s="261"/>
      <c r="H88" s="261"/>
      <c r="I88" s="261"/>
      <c r="J88" s="454" t="s">
        <v>144</v>
      </c>
      <c r="K88" s="455"/>
      <c r="L88" s="455"/>
      <c r="M88" s="455"/>
      <c r="N88" s="455"/>
      <c r="O88" s="455"/>
      <c r="P88" s="455"/>
      <c r="Q88" s="455"/>
      <c r="R88" s="455"/>
      <c r="S88" s="456"/>
      <c r="T88" s="155">
        <f>T53</f>
        <v>343741.23</v>
      </c>
    </row>
    <row r="89" spans="1:33">
      <c r="A89" s="260"/>
      <c r="B89" s="261"/>
      <c r="C89" s="261"/>
      <c r="D89" s="261"/>
      <c r="E89" s="261"/>
      <c r="F89" s="261"/>
      <c r="G89" s="261"/>
      <c r="H89" s="261"/>
      <c r="I89" s="261"/>
      <c r="J89" s="454" t="s">
        <v>145</v>
      </c>
      <c r="K89" s="455"/>
      <c r="L89" s="455"/>
      <c r="M89" s="455"/>
      <c r="N89" s="455"/>
      <c r="O89" s="455"/>
      <c r="P89" s="455"/>
      <c r="Q89" s="455"/>
      <c r="R89" s="455"/>
      <c r="S89" s="456"/>
      <c r="T89" s="155">
        <f>60000*5</f>
        <v>300000</v>
      </c>
    </row>
    <row r="90" spans="1:33">
      <c r="A90" s="260"/>
      <c r="B90" s="261"/>
      <c r="C90" s="261"/>
      <c r="D90" s="261"/>
      <c r="E90" s="261"/>
      <c r="F90" s="261"/>
      <c r="G90" s="261"/>
      <c r="H90" s="261"/>
      <c r="I90" s="261"/>
      <c r="J90" s="454" t="s">
        <v>146</v>
      </c>
      <c r="K90" s="455"/>
      <c r="L90" s="455"/>
      <c r="M90" s="455"/>
      <c r="N90" s="455"/>
      <c r="O90" s="455"/>
      <c r="P90" s="455"/>
      <c r="Q90" s="455"/>
      <c r="R90" s="455"/>
      <c r="S90" s="456"/>
      <c r="T90" s="155">
        <f>T88+T89</f>
        <v>643741.23</v>
      </c>
    </row>
  </sheetData>
  <mergeCells count="41">
    <mergeCell ref="J89:S89"/>
    <mergeCell ref="J90:S90"/>
    <mergeCell ref="T2:T3"/>
    <mergeCell ref="P62:Q62"/>
    <mergeCell ref="B78:E78"/>
    <mergeCell ref="J83:T83"/>
    <mergeCell ref="J84:S84"/>
    <mergeCell ref="J85:S85"/>
    <mergeCell ref="J86:S86"/>
    <mergeCell ref="J88:S88"/>
    <mergeCell ref="B72:E72"/>
    <mergeCell ref="B73:E73"/>
    <mergeCell ref="B74:E74"/>
    <mergeCell ref="B75:E75"/>
    <mergeCell ref="B76:E76"/>
    <mergeCell ref="B77:E77"/>
    <mergeCell ref="A64:A78"/>
    <mergeCell ref="B64:E64"/>
    <mergeCell ref="B65:E65"/>
    <mergeCell ref="B66:E66"/>
    <mergeCell ref="B67:E67"/>
    <mergeCell ref="B68:E68"/>
    <mergeCell ref="B69:E69"/>
    <mergeCell ref="B70:E70"/>
    <mergeCell ref="B71:E71"/>
    <mergeCell ref="A36:T36"/>
    <mergeCell ref="A48:T48"/>
    <mergeCell ref="A49:T49"/>
    <mergeCell ref="F56:I56"/>
    <mergeCell ref="F58:I58"/>
    <mergeCell ref="F62:G62"/>
    <mergeCell ref="H62:I62"/>
    <mergeCell ref="J62:K62"/>
    <mergeCell ref="L62:M62"/>
    <mergeCell ref="N62:O62"/>
    <mergeCell ref="A35:T35"/>
    <mergeCell ref="A1:T1"/>
    <mergeCell ref="S2:S3"/>
    <mergeCell ref="A4:T4"/>
    <mergeCell ref="A17:T17"/>
    <mergeCell ref="A18:T18"/>
  </mergeCells>
  <pageMargins left="0.7" right="0.7" top="0.32" bottom="0.28000000000000003" header="0.3" footer="0.3"/>
  <pageSetup scale="46" fitToWidth="2" fitToHeight="2" orientation="landscape" verticalDpi="1200" r:id="rId1"/>
  <rowBreaks count="1" manualBreakCount="1">
    <brk id="54" max="16383" man="1"/>
  </rowBreaks>
  <colBreaks count="1" manualBreakCount="1">
    <brk id="21" max="1048575" man="1"/>
  </col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3</vt:i4>
      </vt:variant>
    </vt:vector>
  </HeadingPairs>
  <TitlesOfParts>
    <vt:vector size="8" baseType="lpstr">
      <vt:lpstr>Operating costs</vt:lpstr>
      <vt:lpstr>Administration</vt:lpstr>
      <vt:lpstr>Sponsorships</vt:lpstr>
      <vt:lpstr>Membership Dues</vt:lpstr>
      <vt:lpstr>Historical Trends</vt:lpstr>
      <vt:lpstr>'Membership Dues'!Print_Area</vt:lpstr>
      <vt:lpstr>'Operating costs'!Print_Area</vt:lpstr>
      <vt:lpstr>Sponsorships!Print_Area</vt:lpstr>
    </vt:vector>
  </TitlesOfParts>
  <Company>Dofasco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cmercant</dc:creator>
  <cp:lastModifiedBy>Karen</cp:lastModifiedBy>
  <cp:lastPrinted>2014-03-17T23:26:48Z</cp:lastPrinted>
  <dcterms:created xsi:type="dcterms:W3CDTF">2007-10-25T13:29:49Z</dcterms:created>
  <dcterms:modified xsi:type="dcterms:W3CDTF">2015-12-14T20:33:57Z</dcterms:modified>
</cp:coreProperties>
</file>